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8640" windowHeight="5745" activeTab="0"/>
  </bookViews>
  <sheets>
    <sheet name="Predesign sheet" sheetId="1" r:id="rId1"/>
    <sheet name="General Values" sheetId="2" r:id="rId2"/>
    <sheet name="Values Generation-Conversion" sheetId="3" r:id="rId3"/>
    <sheet name="Values Storage" sheetId="4" r:id="rId4"/>
    <sheet name="Values Distribution" sheetId="5" r:id="rId5"/>
    <sheet name="Values Emission" sheetId="6" r:id="rId6"/>
    <sheet name="Values DHW" sheetId="7" r:id="rId7"/>
    <sheet name="Tabelle3" sheetId="8" state="hidden" r:id="rId8"/>
  </sheets>
  <definedNames>
    <definedName name="_xlnm.Print_Area" localSheetId="0">'Predesign sheet'!$A$1:$J$283</definedName>
    <definedName name="Th">'General Values'!$D$6</definedName>
    <definedName name="TL">'General Values'!$B$6</definedName>
  </definedNames>
  <calcPr fullCalcOnLoad="1"/>
</workbook>
</file>

<file path=xl/sharedStrings.xml><?xml version="1.0" encoding="utf-8"?>
<sst xmlns="http://schemas.openxmlformats.org/spreadsheetml/2006/main" count="515" uniqueCount="457">
  <si>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i</t>
    </r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</si>
  <si>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F</t>
    </r>
    <r>
      <rPr>
        <vertAlign val="subscript"/>
        <sz val="10"/>
        <rFont val="Arial"/>
        <family val="2"/>
      </rPr>
      <t>xi</t>
    </r>
  </si>
  <si>
    <r>
      <t xml:space="preserve"> [m²</t>
    </r>
    <r>
      <rPr>
        <sz val="10"/>
        <rFont val="Arial"/>
        <family val="0"/>
      </rPr>
      <t>]</t>
    </r>
  </si>
  <si>
    <r>
      <t xml:space="preserve"> [W/(m²</t>
    </r>
    <r>
      <rPr>
        <sz val="10"/>
        <rFont val="Arial"/>
        <family val="0"/>
      </rPr>
      <t>K)]</t>
    </r>
  </si>
  <si>
    <t>[W/K]</t>
  </si>
  <si>
    <t>[ - ]</t>
  </si>
  <si>
    <t>W 1</t>
  </si>
  <si>
    <t>W 2</t>
  </si>
  <si>
    <t>W 3</t>
  </si>
  <si>
    <t xml:space="preserve">W 4 </t>
  </si>
  <si>
    <t>D 1</t>
  </si>
  <si>
    <t>G 1</t>
  </si>
  <si>
    <t>G 2</t>
  </si>
  <si>
    <t>G 3</t>
  </si>
  <si>
    <t>G 4</t>
  </si>
  <si>
    <t>G 5</t>
  </si>
  <si>
    <r>
      <t>S</t>
    </r>
    <r>
      <rPr>
        <b/>
        <sz val="10"/>
        <rFont val="Arial"/>
        <family val="2"/>
      </rPr>
      <t xml:space="preserve"> A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 xml:space="preserve">= A = </t>
    </r>
  </si>
  <si>
    <t>Object:</t>
  </si>
  <si>
    <t>2. Heat losses</t>
  </si>
  <si>
    <t>Building part</t>
  </si>
  <si>
    <t>Exterior wall</t>
  </si>
  <si>
    <t>Window</t>
  </si>
  <si>
    <t>Door</t>
  </si>
  <si>
    <t>Roof</t>
  </si>
  <si>
    <t>Symbols</t>
  </si>
  <si>
    <r>
      <t>Area
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             </t>
    </r>
  </si>
  <si>
    <r>
      <t>Thermal transmittance
U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 xml:space="preserve">          </t>
    </r>
  </si>
  <si>
    <r>
      <t>Temperature-correction-factor  F</t>
    </r>
    <r>
      <rPr>
        <vertAlign val="subscript"/>
        <sz val="10"/>
        <rFont val="Arial"/>
        <family val="2"/>
      </rPr>
      <t>xi</t>
    </r>
  </si>
  <si>
    <r>
      <t xml:space="preserve">Specific transmission heat loss     
</t>
    </r>
    <r>
      <rPr>
        <b/>
        <sz val="10"/>
        <rFont val="Symbol"/>
        <family val="1"/>
      </rPr>
      <t>S</t>
    </r>
    <r>
      <rPr>
        <b/>
        <sz val="10"/>
        <rFont val="Arial"/>
        <family val="0"/>
      </rPr>
      <t xml:space="preserve"> U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 xml:space="preserve"> * A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 xml:space="preserve"> * F</t>
    </r>
    <r>
      <rPr>
        <b/>
        <vertAlign val="subscript"/>
        <sz val="10"/>
        <rFont val="Arial"/>
        <family val="2"/>
      </rPr>
      <t xml:space="preserve">xi </t>
    </r>
    <r>
      <rPr>
        <b/>
        <sz val="10"/>
        <rFont val="Arial"/>
        <family val="2"/>
      </rPr>
      <t>=</t>
    </r>
  </si>
  <si>
    <t>Upper story floor</t>
  </si>
  <si>
    <t>Walls and floors to unheated rooms</t>
  </si>
  <si>
    <t>Indoor air temperature [°C]</t>
  </si>
  <si>
    <t>Exterior air temperature [°C]</t>
  </si>
  <si>
    <t>Volume (inside) [m³]</t>
  </si>
  <si>
    <t>Air exchange rate [ach/h]</t>
  </si>
  <si>
    <t>Ventilation heat losses [W]</t>
  </si>
  <si>
    <t>1. Project data, boundary conditions</t>
  </si>
  <si>
    <t>20°C/1 bar</t>
  </si>
  <si>
    <t>cp Air room</t>
  </si>
  <si>
    <t xml:space="preserve">kJ/kgK </t>
  </si>
  <si>
    <t>rho Air room</t>
  </si>
  <si>
    <t>kg/m³</t>
  </si>
  <si>
    <r>
      <t>[m²</t>
    </r>
    <r>
      <rPr>
        <sz val="10"/>
        <rFont val="Arial"/>
        <family val="2"/>
      </rPr>
      <t>]</t>
    </r>
  </si>
  <si>
    <t>3. Heat gains</t>
  </si>
  <si>
    <t>Internal gains of occupants [W]:</t>
  </si>
  <si>
    <t>Internal gains of equipment [W]:</t>
  </si>
  <si>
    <t>Orientation</t>
  </si>
  <si>
    <r>
      <t>[W/m²</t>
    </r>
    <r>
      <rPr>
        <sz val="10"/>
        <rFont val="Arial"/>
        <family val="2"/>
      </rPr>
      <t>]</t>
    </r>
  </si>
  <si>
    <t>Solar heat gains:</t>
  </si>
  <si>
    <t>[W]</t>
  </si>
  <si>
    <t>south-east to south-west</t>
  </si>
  <si>
    <t>north-west to north-east</t>
  </si>
  <si>
    <t>other directions</t>
  </si>
  <si>
    <t>Dormer window with slope &lt; 30°</t>
  </si>
  <si>
    <t>Floors to ground.
Areas of unheated cellar to ground</t>
  </si>
  <si>
    <t>Window frame fraction [-]</t>
  </si>
  <si>
    <t>Heat demand [W]:</t>
  </si>
  <si>
    <t>Specific heat demand [W/m²]</t>
  </si>
  <si>
    <t>Net floor area [m²]</t>
  </si>
  <si>
    <t>Heat exchanger efficiency [-]</t>
  </si>
  <si>
    <t>Floor heating</t>
  </si>
  <si>
    <t>Wall heating</t>
  </si>
  <si>
    <t>Quality factor room air [-]:</t>
  </si>
  <si>
    <r>
      <t>Ex</t>
    </r>
    <r>
      <rPr>
        <vertAlign val="subscript"/>
        <sz val="10"/>
        <rFont val="Arial"/>
        <family val="2"/>
      </rPr>
      <t>room</t>
    </r>
    <r>
      <rPr>
        <sz val="10"/>
        <rFont val="Arial"/>
        <family val="2"/>
      </rPr>
      <t xml:space="preserve"> =</t>
    </r>
  </si>
  <si>
    <t>Exergy load room [W]:</t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</si>
  <si>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emis</t>
    </r>
    <r>
      <rPr>
        <sz val="10"/>
        <rFont val="Arial"/>
        <family val="2"/>
      </rPr>
      <t xml:space="preserve"> =</t>
    </r>
  </si>
  <si>
    <t>Exergy load plant [W]:</t>
  </si>
  <si>
    <r>
      <t>Ex</t>
    </r>
    <r>
      <rPr>
        <vertAlign val="subscript"/>
        <sz val="10"/>
        <rFont val="Arial"/>
        <family val="2"/>
      </rPr>
      <t>plant</t>
    </r>
    <r>
      <rPr>
        <sz val="10"/>
        <rFont val="Arial"/>
        <family val="2"/>
      </rPr>
      <t xml:space="preserve"> =</t>
    </r>
  </si>
  <si>
    <r>
      <t>Ex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 xml:space="preserve">  =</t>
    </r>
  </si>
  <si>
    <t>Total exergy input [W]:</t>
  </si>
  <si>
    <r>
      <t>V</t>
    </r>
    <r>
      <rPr>
        <sz val="10"/>
        <rFont val="Arial"/>
        <family val="2"/>
      </rPr>
      <t xml:space="preserve">  =</t>
    </r>
  </si>
  <si>
    <r>
      <t>q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 =</t>
    </r>
  </si>
  <si>
    <r>
      <t>q</t>
    </r>
    <r>
      <rPr>
        <vertAlign val="subscript"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 =</t>
    </r>
  </si>
  <si>
    <t>Wall to roof rooms</t>
  </si>
  <si>
    <r>
      <t>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</si>
  <si>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 xml:space="preserve">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  =</t>
    </r>
  </si>
  <si>
    <r>
      <t xml:space="preserve">   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0"/>
      </rPr>
      <t xml:space="preserve">   =</t>
    </r>
  </si>
  <si>
    <r>
      <t xml:space="preserve">    </t>
    </r>
    <r>
      <rPr>
        <sz val="10"/>
        <rFont val="Symbol"/>
        <family val="1"/>
      </rPr>
      <t xml:space="preserve"> 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  =</t>
    </r>
  </si>
  <si>
    <r>
      <t xml:space="preserve">    </t>
    </r>
    <r>
      <rPr>
        <b/>
        <sz val="10"/>
        <rFont val="Symbol"/>
        <family val="1"/>
      </rPr>
      <t xml:space="preserve"> F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0"/>
      </rPr>
      <t xml:space="preserve">   =</t>
    </r>
  </si>
  <si>
    <r>
      <t>h</t>
    </r>
    <r>
      <rPr>
        <vertAlign val="subscript"/>
        <sz val="10"/>
        <rFont val="Arial"/>
        <family val="2"/>
      </rPr>
      <t>V</t>
    </r>
    <r>
      <rPr>
        <sz val="10"/>
        <rFont val="Symbol"/>
        <family val="1"/>
      </rPr>
      <t xml:space="preserve">    =</t>
    </r>
  </si>
  <si>
    <r>
      <t xml:space="preserve">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</si>
  <si>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 xml:space="preserve">Solar radiation   
</t>
    </r>
    <r>
      <rPr>
        <sz val="10"/>
        <rFont val="Symbol"/>
        <family val="1"/>
      </rPr>
      <t>I</t>
    </r>
    <r>
      <rPr>
        <vertAlign val="subscript"/>
        <sz val="10"/>
        <rFont val="Arial"/>
        <family val="2"/>
      </rPr>
      <t>s,j</t>
    </r>
  </si>
  <si>
    <r>
      <t>Window area                           
A</t>
    </r>
    <r>
      <rPr>
        <vertAlign val="subscript"/>
        <sz val="10"/>
        <rFont val="Arial"/>
        <family val="2"/>
      </rPr>
      <t>W,j</t>
    </r>
  </si>
  <si>
    <r>
      <t xml:space="preserve">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i,o</t>
    </r>
    <r>
      <rPr>
        <sz val="10"/>
        <rFont val="Arial"/>
        <family val="0"/>
      </rPr>
      <t xml:space="preserve">   =   </t>
    </r>
  </si>
  <si>
    <r>
      <t>F</t>
    </r>
    <r>
      <rPr>
        <b/>
        <vertAlign val="subscript"/>
        <sz val="10"/>
        <rFont val="Arial"/>
        <family val="2"/>
      </rPr>
      <t>i,o</t>
    </r>
    <r>
      <rPr>
        <b/>
        <sz val="10"/>
        <rFont val="Arial"/>
        <family val="2"/>
      </rPr>
      <t xml:space="preserve"> = </t>
    </r>
  </si>
  <si>
    <r>
      <t xml:space="preserve">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i,e</t>
    </r>
    <r>
      <rPr>
        <sz val="10"/>
        <rFont val="Arial"/>
        <family val="0"/>
      </rPr>
      <t xml:space="preserve">   =</t>
    </r>
  </si>
  <si>
    <r>
      <t>F</t>
    </r>
    <r>
      <rPr>
        <b/>
        <vertAlign val="subscript"/>
        <sz val="10"/>
        <rFont val="Arial"/>
        <family val="2"/>
      </rPr>
      <t>i,e</t>
    </r>
    <r>
      <rPr>
        <b/>
        <sz val="10"/>
        <rFont val="Arial"/>
        <family val="2"/>
      </rPr>
      <t xml:space="preserve"> = </t>
    </r>
  </si>
  <si>
    <r>
      <t xml:space="preserve">3.1 Solar heat gains </t>
    </r>
    <r>
      <rPr>
        <b/>
        <sz val="12"/>
        <rFont val="Symbol"/>
        <family val="1"/>
      </rPr>
      <t>F</t>
    </r>
    <r>
      <rPr>
        <b/>
        <vertAlign val="subscript"/>
        <sz val="12"/>
        <rFont val="Arial"/>
        <family val="2"/>
      </rPr>
      <t xml:space="preserve">s </t>
    </r>
    <r>
      <rPr>
        <b/>
        <sz val="10"/>
        <rFont val="Arial"/>
        <family val="2"/>
      </rPr>
      <t xml:space="preserve"> [W]</t>
    </r>
  </si>
  <si>
    <r>
      <t xml:space="preserve">3.2 Internal Heat Gains </t>
    </r>
    <r>
      <rPr>
        <b/>
        <sz val="12"/>
        <rFont val="Symbol"/>
        <family val="1"/>
      </rPr>
      <t>F</t>
    </r>
    <r>
      <rPr>
        <b/>
        <vertAlign val="subscript"/>
        <sz val="12"/>
        <rFont val="Arial"/>
        <family val="2"/>
      </rPr>
      <t xml:space="preserve">i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[W]</t>
    </r>
  </si>
  <si>
    <r>
      <t>2.2 Ventilation heat losses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[W]</t>
    </r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</si>
  <si>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 =   </t>
    </r>
  </si>
  <si>
    <r>
      <t>F</t>
    </r>
    <r>
      <rPr>
        <b/>
        <vertAlign val="subscript"/>
        <sz val="10"/>
        <rFont val="Arial"/>
        <family val="2"/>
      </rPr>
      <t>h</t>
    </r>
    <r>
      <rPr>
        <b/>
        <sz val="10"/>
        <rFont val="Arial"/>
        <family val="0"/>
      </rPr>
      <t xml:space="preserve">  =   </t>
    </r>
  </si>
  <si>
    <r>
      <t>F</t>
    </r>
    <r>
      <rPr>
        <sz val="10"/>
        <rFont val="Arial"/>
        <family val="2"/>
      </rPr>
      <t>''</t>
    </r>
    <r>
      <rPr>
        <vertAlign val="subscript"/>
        <sz val="10"/>
        <rFont val="Arial"/>
        <family val="2"/>
      </rPr>
      <t xml:space="preserve">h  </t>
    </r>
    <r>
      <rPr>
        <sz val="10"/>
        <rFont val="Arial"/>
        <family val="2"/>
      </rPr>
      <t xml:space="preserve">= </t>
    </r>
  </si>
  <si>
    <r>
      <t>F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0"/>
      </rPr>
      <t xml:space="preserve">  /   A</t>
    </r>
    <r>
      <rPr>
        <vertAlign val="subscript"/>
        <sz val="10"/>
        <rFont val="Arial"/>
        <family val="2"/>
      </rPr>
      <t>N</t>
    </r>
  </si>
  <si>
    <r>
      <t>F</t>
    </r>
    <r>
      <rPr>
        <b/>
        <sz val="10"/>
        <rFont val="Arial"/>
        <family val="2"/>
      </rPr>
      <t>''</t>
    </r>
    <r>
      <rPr>
        <b/>
        <vertAlign val="subscript"/>
        <sz val="10"/>
        <rFont val="Arial"/>
        <family val="2"/>
      </rPr>
      <t xml:space="preserve">h  </t>
    </r>
    <r>
      <rPr>
        <b/>
        <sz val="10"/>
        <rFont val="Arial"/>
        <family val="2"/>
      </rPr>
      <t xml:space="preserve">= </t>
    </r>
  </si>
  <si>
    <t>Emission system:</t>
  </si>
  <si>
    <r>
      <t>Quality factor of source F</t>
    </r>
    <r>
      <rPr>
        <vertAlign val="subscript"/>
        <sz val="10"/>
        <rFont val="Arial"/>
        <family val="2"/>
      </rPr>
      <t>q,S</t>
    </r>
    <r>
      <rPr>
        <sz val="10"/>
        <rFont val="Arial"/>
        <family val="0"/>
      </rPr>
      <t xml:space="preserve"> [-]</t>
    </r>
  </si>
  <si>
    <r>
      <t xml:space="preserve">Inlet temperature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 xml:space="preserve"> [°C]</t>
    </r>
  </si>
  <si>
    <r>
      <t>F</t>
    </r>
    <r>
      <rPr>
        <vertAlign val="subscript"/>
        <sz val="10"/>
        <rFont val="Arial"/>
        <family val="2"/>
      </rPr>
      <t xml:space="preserve">q,room </t>
    </r>
    <r>
      <rPr>
        <sz val="10"/>
        <rFont val="Arial"/>
        <family val="2"/>
      </rPr>
      <t xml:space="preserve">= </t>
    </r>
  </si>
  <si>
    <r>
      <t xml:space="preserve">Return temperature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 xml:space="preserve">ret </t>
    </r>
    <r>
      <rPr>
        <sz val="10"/>
        <rFont val="Arial"/>
        <family val="0"/>
      </rPr>
      <t>[°C]</t>
    </r>
  </si>
  <si>
    <r>
      <t xml:space="preserve"> =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 xml:space="preserve">ref </t>
    </r>
    <r>
      <rPr>
        <sz val="10"/>
        <rFont val="Arial"/>
        <family val="2"/>
      </rPr>
      <t>Reference temperature</t>
    </r>
  </si>
  <si>
    <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 =</t>
    </r>
  </si>
  <si>
    <r>
      <t>F</t>
    </r>
    <r>
      <rPr>
        <b/>
        <vertAlign val="subscript"/>
        <sz val="10"/>
        <rFont val="Arial"/>
        <family val="2"/>
      </rPr>
      <t xml:space="preserve">q,room </t>
    </r>
    <r>
      <rPr>
        <b/>
        <sz val="10"/>
        <rFont val="Arial"/>
        <family val="2"/>
      </rPr>
      <t xml:space="preserve">= </t>
    </r>
  </si>
  <si>
    <r>
      <t>Ex</t>
    </r>
    <r>
      <rPr>
        <b/>
        <vertAlign val="subscript"/>
        <sz val="10"/>
        <rFont val="Arial"/>
        <family val="2"/>
      </rPr>
      <t>room</t>
    </r>
    <r>
      <rPr>
        <b/>
        <sz val="10"/>
        <rFont val="Arial"/>
        <family val="2"/>
      </rPr>
      <t xml:space="preserve"> =</t>
    </r>
  </si>
  <si>
    <r>
      <t>D</t>
    </r>
    <r>
      <rPr>
        <b/>
        <sz val="10"/>
        <rFont val="Arial"/>
        <family val="2"/>
      </rPr>
      <t>Ex</t>
    </r>
    <r>
      <rPr>
        <b/>
        <vertAlign val="subscript"/>
        <sz val="10"/>
        <rFont val="Arial"/>
        <family val="2"/>
      </rPr>
      <t>emis</t>
    </r>
    <r>
      <rPr>
        <b/>
        <sz val="10"/>
        <rFont val="Arial"/>
        <family val="2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</si>
  <si>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ge</t>
    </r>
    <r>
      <rPr>
        <b/>
        <sz val="10"/>
        <rFont val="Arial"/>
        <family val="2"/>
      </rPr>
      <t xml:space="preserve">  =</t>
    </r>
  </si>
  <si>
    <r>
      <t>Ex</t>
    </r>
    <r>
      <rPr>
        <b/>
        <vertAlign val="subscript"/>
        <sz val="10"/>
        <rFont val="Arial"/>
        <family val="2"/>
      </rPr>
      <t>plant</t>
    </r>
    <r>
      <rPr>
        <b/>
        <sz val="10"/>
        <rFont val="Arial"/>
        <family val="2"/>
      </rPr>
      <t xml:space="preserve"> =</t>
    </r>
  </si>
  <si>
    <r>
      <t>Ex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  =</t>
    </r>
  </si>
  <si>
    <r>
      <t>Ex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=</t>
    </r>
  </si>
  <si>
    <r>
      <t>Ex</t>
    </r>
    <r>
      <rPr>
        <b/>
        <vertAlign val="subscript"/>
        <sz val="10"/>
        <rFont val="Arial"/>
        <family val="2"/>
      </rPr>
      <t>ge</t>
    </r>
    <r>
      <rPr>
        <b/>
        <sz val="10"/>
        <rFont val="Arial"/>
        <family val="2"/>
      </rPr>
      <t xml:space="preserve"> =</t>
    </r>
  </si>
  <si>
    <t>results</t>
  </si>
  <si>
    <t>input</t>
  </si>
  <si>
    <t>after boiler</t>
  </si>
  <si>
    <t>after emission</t>
  </si>
  <si>
    <t>after room</t>
  </si>
  <si>
    <t>after envelope</t>
  </si>
  <si>
    <t>Masanori Shukuya</t>
  </si>
  <si>
    <t>Musashi Institute of Technology</t>
  </si>
  <si>
    <t>1-28-1 Tamazutsumi Setagaya-ku</t>
  </si>
  <si>
    <t>Tokyo 158-8557</t>
  </si>
  <si>
    <t>JAPAN</t>
  </si>
  <si>
    <t>Dietrich Schmidt</t>
  </si>
  <si>
    <t>KTH Building Technology</t>
  </si>
  <si>
    <t>S-10044 Stockholm</t>
  </si>
  <si>
    <t>SWEDEN</t>
  </si>
  <si>
    <t>Abdelaziz Hammache</t>
  </si>
  <si>
    <t>Natural Resources Canada</t>
  </si>
  <si>
    <t>1615 Lionel-Boulet</t>
  </si>
  <si>
    <t xml:space="preserve">Varennes Quebec J3X 1S6 </t>
  </si>
  <si>
    <t>CANADA</t>
  </si>
  <si>
    <t>Brinellvägen 34</t>
  </si>
  <si>
    <r>
      <t xml:space="preserve">      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  =</t>
    </r>
  </si>
  <si>
    <r>
      <t xml:space="preserve">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  =  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(U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F</t>
    </r>
    <r>
      <rPr>
        <vertAlign val="subscript"/>
        <sz val="10"/>
        <rFont val="Arial"/>
        <family val="2"/>
      </rPr>
      <t>xi</t>
    </r>
    <r>
      <rPr>
        <sz val="10"/>
        <rFont val="Arial"/>
        <family val="0"/>
      </rPr>
      <t>)   *   (</t>
    </r>
    <r>
      <rPr>
        <sz val="10"/>
        <rFont val="Symbol"/>
        <family val="1"/>
      </rPr>
      <t>q</t>
    </r>
    <r>
      <rPr>
        <vertAlign val="subscript"/>
        <sz val="8"/>
        <rFont val="Arial"/>
        <family val="2"/>
      </rPr>
      <t>i</t>
    </r>
    <r>
      <rPr>
        <sz val="10"/>
        <rFont val="Arial"/>
        <family val="0"/>
      </rPr>
      <t xml:space="preserve"> -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</t>
    </r>
  </si>
  <si>
    <r>
      <t xml:space="preserve">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 =  (cp *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* V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* 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* (1-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* 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)  </t>
    </r>
  </si>
  <si>
    <r>
      <t xml:space="preserve">    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 =  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(</t>
    </r>
    <r>
      <rPr>
        <sz val="10"/>
        <rFont val="Symbol"/>
        <family val="1"/>
      </rPr>
      <t>I</t>
    </r>
    <r>
      <rPr>
        <vertAlign val="subscript"/>
        <sz val="10"/>
        <rFont val="Arial"/>
        <family val="2"/>
      </rPr>
      <t>s,j</t>
    </r>
    <r>
      <rPr>
        <sz val="10"/>
        <rFont val="Arial"/>
        <family val="0"/>
      </rPr>
      <t xml:space="preserve"> * (1-F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) * A</t>
    </r>
    <r>
      <rPr>
        <vertAlign val="subscript"/>
        <sz val="10"/>
        <rFont val="Arial"/>
        <family val="2"/>
      </rPr>
      <t>W,j</t>
    </r>
    <r>
      <rPr>
        <sz val="10"/>
        <rFont val="Arial"/>
        <family val="0"/>
      </rPr>
      <t xml:space="preserve"> * g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)</t>
    </r>
  </si>
  <si>
    <r>
      <t>2.1 Transmission losses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[W]</t>
    </r>
  </si>
  <si>
    <r>
      <t>F</t>
    </r>
    <r>
      <rPr>
        <vertAlign val="sub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= </t>
    </r>
  </si>
  <si>
    <r>
      <t>I</t>
    </r>
    <r>
      <rPr>
        <vertAlign val="subscript"/>
        <sz val="10"/>
        <rFont val="Arial"/>
        <family val="2"/>
      </rPr>
      <t>s,j</t>
    </r>
    <r>
      <rPr>
        <sz val="10"/>
        <rFont val="Arial"/>
        <family val="0"/>
      </rPr>
      <t xml:space="preserve"> * (1-F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) * 0.9 * 0.9 </t>
    </r>
    <r>
      <rPr>
        <sz val="10"/>
        <rFont val="Arial"/>
        <family val="0"/>
      </rPr>
      <t>*A</t>
    </r>
    <r>
      <rPr>
        <vertAlign val="subscript"/>
        <sz val="10"/>
        <rFont val="Arial"/>
        <family val="2"/>
      </rPr>
      <t>W,j</t>
    </r>
    <r>
      <rPr>
        <sz val="10"/>
        <rFont val="Arial"/>
        <family val="0"/>
      </rPr>
      <t xml:space="preserve"> * g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1)</t>
    </r>
  </si>
  <si>
    <t>Transmission heat losses [W]</t>
  </si>
  <si>
    <t>Total trans-mittance     gj</t>
  </si>
  <si>
    <r>
      <t>1)</t>
    </r>
    <r>
      <rPr>
        <sz val="10"/>
        <rFont val="Arial"/>
        <family val="0"/>
      </rPr>
      <t xml:space="preserve"> 0.9 for shading and 0.9 for not orthogonal radiation</t>
    </r>
  </si>
  <si>
    <t>Authors:</t>
  </si>
  <si>
    <t>This is a COP heatpump calculation</t>
  </si>
  <si>
    <t>T(low):</t>
  </si>
  <si>
    <t>T(high):</t>
  </si>
  <si>
    <t>COP=</t>
  </si>
  <si>
    <t>Heating temperature [°C]:</t>
  </si>
  <si>
    <t>Exergy load at heater [W]:</t>
  </si>
  <si>
    <r>
      <t>Ex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2"/>
      </rPr>
      <t xml:space="preserve"> =</t>
    </r>
  </si>
  <si>
    <t>Quality factor air at heater [-]:</t>
  </si>
  <si>
    <r>
      <t>q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2"/>
      </rPr>
      <t xml:space="preserve"> =</t>
    </r>
  </si>
  <si>
    <r>
      <t>q</t>
    </r>
    <r>
      <rPr>
        <b/>
        <vertAlign val="subscript"/>
        <sz val="10"/>
        <rFont val="Arial"/>
        <family val="2"/>
      </rPr>
      <t>heat</t>
    </r>
    <r>
      <rPr>
        <b/>
        <sz val="10"/>
        <rFont val="Arial"/>
        <family val="2"/>
      </rPr>
      <t xml:space="preserve"> =</t>
    </r>
  </si>
  <si>
    <r>
      <t>Ex</t>
    </r>
    <r>
      <rPr>
        <b/>
        <vertAlign val="subscript"/>
        <sz val="10"/>
        <rFont val="Arial"/>
        <family val="2"/>
      </rPr>
      <t>heat</t>
    </r>
    <r>
      <rPr>
        <b/>
        <sz val="10"/>
        <rFont val="Arial"/>
        <family val="2"/>
      </rPr>
      <t xml:space="preserve"> =</t>
    </r>
  </si>
  <si>
    <r>
      <t>F</t>
    </r>
    <r>
      <rPr>
        <b/>
        <vertAlign val="subscript"/>
        <sz val="10"/>
        <rFont val="Arial"/>
        <family val="2"/>
      </rPr>
      <t xml:space="preserve">q,heater </t>
    </r>
    <r>
      <rPr>
        <b/>
        <sz val="10"/>
        <rFont val="Arial"/>
        <family val="2"/>
      </rPr>
      <t xml:space="preserve">= </t>
    </r>
  </si>
  <si>
    <t>System</t>
  </si>
  <si>
    <t xml:space="preserve">Efficiency </t>
  </si>
  <si>
    <t>Primary Energy Factor</t>
  </si>
  <si>
    <t>Quality Factor of Source</t>
  </si>
  <si>
    <t>Auxiliary Energy</t>
  </si>
  <si>
    <t>[%]</t>
  </si>
  <si>
    <t>[-]</t>
  </si>
  <si>
    <t>[°C]</t>
  </si>
  <si>
    <t>Electric boiler</t>
  </si>
  <si>
    <t>Solar collector, flat plate</t>
  </si>
  <si>
    <t>Solar collector, vacuum tube</t>
  </si>
  <si>
    <t>Bio-mass/Wood</t>
  </si>
  <si>
    <t>District heat Waste heat</t>
  </si>
  <si>
    <t>Air heat pump</t>
  </si>
  <si>
    <t xml:space="preserve">Heat loss/Efficiency </t>
  </si>
  <si>
    <t>No storage</t>
  </si>
  <si>
    <t>Seasonal storage</t>
  </si>
  <si>
    <t>Inside envelope</t>
  </si>
  <si>
    <t>Outside envelope</t>
  </si>
  <si>
    <t>Supply Temperature</t>
  </si>
  <si>
    <t>Return Temperature</t>
  </si>
  <si>
    <t>Requiered auxiliary energy</t>
  </si>
  <si>
    <t>Maximum heat emision</t>
  </si>
  <si>
    <t>[W/m²]</t>
  </si>
  <si>
    <t>Radiator</t>
  </si>
  <si>
    <t>Air heating/cooling</t>
  </si>
  <si>
    <t>Ceiling heating</t>
  </si>
  <si>
    <t>Slab heating/cooling</t>
  </si>
  <si>
    <t>Free cooling-ventilation</t>
  </si>
  <si>
    <t>LT radiators</t>
  </si>
  <si>
    <t>Radiating panel</t>
  </si>
  <si>
    <t>Slab heating</t>
  </si>
  <si>
    <t xml:space="preserve">Direct electric heating </t>
  </si>
  <si>
    <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</si>
  <si>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>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</si>
  <si>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t>Goal!!!</t>
  </si>
  <si>
    <t>Generation / 
Conversion:</t>
  </si>
  <si>
    <t>Storage:</t>
  </si>
  <si>
    <t>Small / day storage</t>
  </si>
  <si>
    <t>Distribution system:</t>
  </si>
  <si>
    <r>
      <t>HT radiators (</t>
    </r>
    <r>
      <rPr>
        <sz val="10"/>
        <rFont val="Times New Roman"/>
        <family val="1"/>
      </rPr>
      <t>DIN 255: 90/70)</t>
    </r>
  </si>
  <si>
    <r>
      <t>HT radiators (</t>
    </r>
    <r>
      <rPr>
        <sz val="10"/>
        <rFont val="Times New Roman"/>
        <family val="1"/>
      </rPr>
      <t>DIN 255: 70/55)</t>
    </r>
  </si>
  <si>
    <r>
      <t>HT radiators (</t>
    </r>
    <r>
      <rPr>
        <sz val="10"/>
        <rFont val="Times New Roman"/>
        <family val="1"/>
      </rPr>
      <t>DIN 255: 55/45)</t>
    </r>
  </si>
  <si>
    <r>
      <t>HT radiators (</t>
    </r>
    <r>
      <rPr>
        <sz val="10"/>
        <rFont val="Times New Roman"/>
        <family val="1"/>
      </rPr>
      <t>DIN 255: 35/28)</t>
    </r>
  </si>
  <si>
    <t>Max. supply Temperature</t>
  </si>
  <si>
    <r>
      <t xml:space="preserve">   p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0"/>
      </rPr>
      <t xml:space="preserve">  =</t>
    </r>
  </si>
  <si>
    <r>
      <t>P</t>
    </r>
    <r>
      <rPr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= </t>
    </r>
  </si>
  <si>
    <t>Spec. lighting power [W/m²]:</t>
  </si>
  <si>
    <t>Lighting power [W]:</t>
  </si>
  <si>
    <r>
      <t xml:space="preserve">   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</si>
  <si>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Spec. ventilation power [Wh/m³]:</t>
  </si>
  <si>
    <r>
      <t xml:space="preserve">   p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0"/>
      </rPr>
      <t xml:space="preserve">  =</t>
    </r>
  </si>
  <si>
    <t>Ventilation power [W]:</t>
  </si>
  <si>
    <r>
      <t xml:space="preserve">   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</si>
  <si>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</t>
    </r>
  </si>
  <si>
    <t>7. Results of exergy calculation</t>
  </si>
  <si>
    <r>
      <t xml:space="preserve">   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                pv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*      V      *         n</t>
    </r>
    <r>
      <rPr>
        <vertAlign val="subscript"/>
        <sz val="10"/>
        <rFont val="Arial"/>
        <family val="2"/>
      </rPr>
      <t>d</t>
    </r>
  </si>
  <si>
    <t xml:space="preserve">General Properties: </t>
  </si>
  <si>
    <t>incl. free /rene. ener.</t>
  </si>
  <si>
    <t>after prim trans</t>
  </si>
  <si>
    <t>after storage</t>
  </si>
  <si>
    <t>after distributon</t>
  </si>
  <si>
    <t>heat energy</t>
  </si>
  <si>
    <t xml:space="preserve">primary energy factor of electricity: </t>
  </si>
  <si>
    <t>heat</t>
  </si>
  <si>
    <t>elec</t>
  </si>
  <si>
    <t>tot</t>
  </si>
  <si>
    <t>renewable</t>
  </si>
  <si>
    <r>
      <t xml:space="preserve">Max. supply temperature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S,max</t>
    </r>
    <r>
      <rPr>
        <sz val="10"/>
        <rFont val="Arial"/>
        <family val="0"/>
      </rPr>
      <t xml:space="preserve"> [°C]</t>
    </r>
  </si>
  <si>
    <r>
      <t>Primary energy factor source 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[-]</t>
    </r>
  </si>
  <si>
    <r>
      <t xml:space="preserve">Heat loss / 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[-]</t>
    </r>
  </si>
  <si>
    <r>
      <t>Auxiliary energy p</t>
    </r>
    <r>
      <rPr>
        <vertAlign val="subscript"/>
        <sz val="10"/>
        <rFont val="Arial"/>
        <family val="2"/>
      </rPr>
      <t>aux,S</t>
    </r>
    <r>
      <rPr>
        <sz val="10"/>
        <rFont val="Arial"/>
        <family val="0"/>
      </rP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</si>
  <si>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 xml:space="preserve">Heat loss / 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[-]</t>
    </r>
  </si>
  <si>
    <r>
      <t>Auxiliary energy p</t>
    </r>
    <r>
      <rPr>
        <vertAlign val="subscript"/>
        <sz val="10"/>
        <rFont val="Arial"/>
        <family val="2"/>
      </rPr>
      <t>aux,D</t>
    </r>
    <r>
      <rPr>
        <sz val="10"/>
        <rFont val="Arial"/>
        <family val="0"/>
      </rP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</si>
  <si>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>Auxiliary energy p</t>
    </r>
    <r>
      <rPr>
        <vertAlign val="subscript"/>
        <sz val="10"/>
        <rFont val="Arial"/>
        <family val="2"/>
      </rPr>
      <t>aux,E</t>
    </r>
    <r>
      <rPr>
        <sz val="10"/>
        <rFont val="Arial"/>
        <family val="0"/>
      </rP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</si>
  <si>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>Max. heat emission p</t>
    </r>
    <r>
      <rPr>
        <vertAlign val="subscript"/>
        <sz val="10"/>
        <rFont val="Arial"/>
        <family val="2"/>
      </rPr>
      <t>heat,max</t>
    </r>
    <r>
      <rPr>
        <sz val="10"/>
        <rFont val="Arial"/>
        <family val="0"/>
      </rPr>
      <t xml:space="preserve"> [W/m²]</t>
    </r>
  </si>
  <si>
    <r>
      <t xml:space="preserve">Heat loss / 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 xml:space="preserve">E </t>
    </r>
    <r>
      <rPr>
        <sz val="10"/>
        <rFont val="Arial"/>
        <family val="0"/>
      </rPr>
      <t>[-]</t>
    </r>
  </si>
  <si>
    <t xml:space="preserve">
Envelope</t>
  </si>
  <si>
    <t xml:space="preserve">
Room air</t>
  </si>
  <si>
    <r>
      <t>F</t>
    </r>
    <r>
      <rPr>
        <vertAlign val="subscript"/>
        <sz val="10"/>
        <rFont val="Arial"/>
        <family val="2"/>
      </rPr>
      <t xml:space="preserve">q,room </t>
    </r>
    <r>
      <rPr>
        <sz val="10"/>
        <rFont val="Arial"/>
        <family val="2"/>
      </rPr>
      <t>=            1   -   T</t>
    </r>
    <r>
      <rPr>
        <vertAlign val="subscript"/>
        <sz val="10"/>
        <rFont val="Arial"/>
        <family val="2"/>
      </rPr>
      <t xml:space="preserve">e  </t>
    </r>
    <r>
      <rPr>
        <sz val="10"/>
        <rFont val="Arial"/>
        <family val="2"/>
      </rPr>
      <t>/  T</t>
    </r>
    <r>
      <rPr>
        <vertAlign val="subscript"/>
        <sz val="10"/>
        <rFont val="Arial"/>
        <family val="2"/>
      </rPr>
      <t>i</t>
    </r>
  </si>
  <si>
    <r>
      <t>Ex</t>
    </r>
    <r>
      <rPr>
        <vertAlign val="subscript"/>
        <sz val="10"/>
        <rFont val="Arial"/>
        <family val="2"/>
      </rPr>
      <t>room</t>
    </r>
    <r>
      <rPr>
        <sz val="10"/>
        <rFont val="Arial"/>
        <family val="2"/>
      </rPr>
      <t xml:space="preserve"> =       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  *      F</t>
    </r>
    <r>
      <rPr>
        <vertAlign val="subscript"/>
        <sz val="10"/>
        <rFont val="Arial"/>
        <family val="2"/>
      </rPr>
      <t>q,room</t>
    </r>
  </si>
  <si>
    <t>Heat loss emission [W]:</t>
  </si>
  <si>
    <t>Auxiliary energy emission [W]:</t>
  </si>
  <si>
    <r>
      <t>P</t>
    </r>
    <r>
      <rPr>
        <vertAlign val="subscript"/>
        <sz val="10"/>
        <rFont val="Arial"/>
        <family val="2"/>
      </rPr>
      <t>aux,E</t>
    </r>
    <r>
      <rPr>
        <sz val="10"/>
        <rFont val="Arial"/>
        <family val="2"/>
      </rPr>
      <t xml:space="preserve"> =     </t>
    </r>
  </si>
  <si>
    <r>
      <t>P</t>
    </r>
    <r>
      <rPr>
        <b/>
        <vertAlign val="subscript"/>
        <sz val="10"/>
        <rFont val="Arial"/>
        <family val="2"/>
      </rPr>
      <t>aux,E</t>
    </r>
    <r>
      <rPr>
        <b/>
        <sz val="10"/>
        <rFont val="Arial"/>
        <family val="2"/>
      </rPr>
      <t xml:space="preserve"> =     </t>
    </r>
  </si>
  <si>
    <r>
      <t>Ex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2"/>
      </rPr>
      <t xml:space="preserve"> =      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    *       F</t>
    </r>
    <r>
      <rPr>
        <vertAlign val="subscript"/>
        <sz val="10"/>
        <rFont val="Arial"/>
        <family val="2"/>
      </rPr>
      <t>q,heater</t>
    </r>
  </si>
  <si>
    <t xml:space="preserve">
Emission</t>
  </si>
  <si>
    <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 xml:space="preserve"> =     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    *       (1/</t>
    </r>
    <r>
      <rPr>
        <sz val="10"/>
        <rFont val="Symbol"/>
        <family val="1"/>
      </rPr>
      <t>h</t>
    </r>
    <r>
      <rPr>
        <vertAlign val="subscript"/>
        <sz val="10"/>
        <rFont val="Arial Narrow"/>
        <family val="2"/>
      </rPr>
      <t>E</t>
    </r>
    <r>
      <rPr>
        <sz val="10"/>
        <rFont val="Arial"/>
        <family val="2"/>
      </rPr>
      <t>-1)</t>
    </r>
  </si>
  <si>
    <r>
      <t>F</t>
    </r>
    <r>
      <rPr>
        <b/>
        <vertAlign val="subscript"/>
        <sz val="10"/>
        <rFont val="Arial"/>
        <family val="2"/>
      </rPr>
      <t>loss,E</t>
    </r>
    <r>
      <rPr>
        <b/>
        <sz val="10"/>
        <rFont val="Arial"/>
        <family val="2"/>
      </rPr>
      <t xml:space="preserve"> =</t>
    </r>
  </si>
  <si>
    <t>Heat loss distributon [W]:</t>
  </si>
  <si>
    <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 xml:space="preserve"> =      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)      *       (1/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-1)</t>
    </r>
  </si>
  <si>
    <t>Auxiliary energy distribution [W]:</t>
  </si>
  <si>
    <r>
      <t>P</t>
    </r>
    <r>
      <rPr>
        <b/>
        <vertAlign val="subscript"/>
        <sz val="10"/>
        <rFont val="Arial"/>
        <family val="2"/>
      </rPr>
      <t>aux,D</t>
    </r>
    <r>
      <rPr>
        <b/>
        <sz val="10"/>
        <rFont val="Arial"/>
        <family val="2"/>
      </rPr>
      <t xml:space="preserve"> =     </t>
    </r>
  </si>
  <si>
    <r>
      <t>P</t>
    </r>
    <r>
      <rPr>
        <vertAlign val="subscript"/>
        <sz val="10"/>
        <rFont val="Arial"/>
        <family val="2"/>
      </rPr>
      <t>aux,E</t>
    </r>
    <r>
      <rPr>
        <sz val="10"/>
        <rFont val="Arial"/>
        <family val="2"/>
      </rPr>
      <t xml:space="preserve"> =                   p</t>
    </r>
    <r>
      <rPr>
        <vertAlign val="subscript"/>
        <sz val="10"/>
        <rFont val="Arial"/>
        <family val="2"/>
      </rPr>
      <t>aux,E</t>
    </r>
    <r>
      <rPr>
        <sz val="10"/>
        <rFont val="Arial"/>
        <family val="2"/>
      </rPr>
      <t xml:space="preserve">      *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</t>
    </r>
  </si>
  <si>
    <r>
      <t>P</t>
    </r>
    <r>
      <rPr>
        <vertAlign val="subscript"/>
        <sz val="10"/>
        <rFont val="Arial"/>
        <family val="2"/>
      </rPr>
      <t>aux,D</t>
    </r>
    <r>
      <rPr>
        <sz val="10"/>
        <rFont val="Arial"/>
        <family val="2"/>
      </rPr>
      <t xml:space="preserve"> =                   p</t>
    </r>
    <r>
      <rPr>
        <vertAlign val="subscript"/>
        <sz val="10"/>
        <rFont val="Arial"/>
        <family val="2"/>
      </rPr>
      <t>aux,D</t>
    </r>
    <r>
      <rPr>
        <sz val="10"/>
        <rFont val="Arial"/>
        <family val="2"/>
      </rPr>
      <t xml:space="preserve">      *    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 xml:space="preserve">)  </t>
    </r>
  </si>
  <si>
    <r>
      <t>P</t>
    </r>
    <r>
      <rPr>
        <vertAlign val="subscript"/>
        <sz val="10"/>
        <rFont val="Arial"/>
        <family val="2"/>
      </rPr>
      <t>aux,D</t>
    </r>
    <r>
      <rPr>
        <sz val="10"/>
        <rFont val="Arial"/>
        <family val="2"/>
      </rPr>
      <t xml:space="preserve"> =     </t>
    </r>
  </si>
  <si>
    <t xml:space="preserve">
Distribution</t>
  </si>
  <si>
    <t xml:space="preserve">
Storage</t>
  </si>
  <si>
    <t>Heat loss storage [W]:</t>
  </si>
  <si>
    <t>Auxiliary energy storage [W]:</t>
  </si>
  <si>
    <r>
      <t>F</t>
    </r>
    <r>
      <rPr>
        <b/>
        <vertAlign val="subscript"/>
        <sz val="10"/>
        <rFont val="Arial"/>
        <family val="2"/>
      </rPr>
      <t>loss,S</t>
    </r>
    <r>
      <rPr>
        <b/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</si>
  <si>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loss,S</t>
    </r>
    <r>
      <rPr>
        <sz val="10"/>
        <rFont val="Arial"/>
        <family val="2"/>
      </rPr>
      <t xml:space="preserve"> =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>)  *       (1/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-1)</t>
    </r>
  </si>
  <si>
    <r>
      <t>F</t>
    </r>
    <r>
      <rPr>
        <b/>
        <vertAlign val="subscript"/>
        <sz val="10"/>
        <rFont val="Arial"/>
        <family val="2"/>
      </rPr>
      <t>loss,D</t>
    </r>
    <r>
      <rPr>
        <b/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</si>
  <si>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 xml:space="preserve"> = </t>
    </r>
  </si>
  <si>
    <r>
      <t>P</t>
    </r>
    <r>
      <rPr>
        <vertAlign val="subscript"/>
        <sz val="10"/>
        <rFont val="Arial"/>
        <family val="2"/>
      </rPr>
      <t>aux,S</t>
    </r>
    <r>
      <rPr>
        <sz val="10"/>
        <rFont val="Arial"/>
        <family val="2"/>
      </rPr>
      <t xml:space="preserve"> =     </t>
    </r>
  </si>
  <si>
    <r>
      <t>P</t>
    </r>
    <r>
      <rPr>
        <b/>
        <vertAlign val="subscript"/>
        <sz val="10"/>
        <rFont val="Arial"/>
        <family val="2"/>
      </rPr>
      <t>aux,S</t>
    </r>
    <r>
      <rPr>
        <b/>
        <sz val="10"/>
        <rFont val="Arial"/>
        <family val="2"/>
      </rPr>
      <t xml:space="preserve"> =     </t>
    </r>
  </si>
  <si>
    <r>
      <t>P</t>
    </r>
    <r>
      <rPr>
        <vertAlign val="subscript"/>
        <sz val="10"/>
        <rFont val="Arial"/>
        <family val="2"/>
      </rPr>
      <t>aux,S</t>
    </r>
    <r>
      <rPr>
        <sz val="10"/>
        <rFont val="Arial"/>
        <family val="2"/>
      </rPr>
      <t xml:space="preserve"> =                   p</t>
    </r>
    <r>
      <rPr>
        <vertAlign val="subscript"/>
        <sz val="10"/>
        <rFont val="Arial"/>
        <family val="2"/>
      </rPr>
      <t>aux,S</t>
    </r>
    <r>
      <rPr>
        <sz val="10"/>
        <rFont val="Arial"/>
        <family val="2"/>
      </rPr>
      <t xml:space="preserve">      *    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 xml:space="preserve">)  </t>
    </r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</si>
  <si>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dis</t>
    </r>
    <r>
      <rPr>
        <sz val="10"/>
        <rFont val="Arial"/>
        <family val="2"/>
      </rPr>
      <t xml:space="preserve"> =</t>
    </r>
  </si>
  <si>
    <r>
      <t>D</t>
    </r>
    <r>
      <rPr>
        <b/>
        <sz val="10"/>
        <rFont val="Arial"/>
        <family val="2"/>
      </rPr>
      <t>Ex</t>
    </r>
    <r>
      <rPr>
        <b/>
        <vertAlign val="subscript"/>
        <sz val="10"/>
        <rFont val="Arial"/>
        <family val="2"/>
      </rPr>
      <t>dis</t>
    </r>
    <r>
      <rPr>
        <b/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</si>
  <si>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stor</t>
    </r>
    <r>
      <rPr>
        <sz val="10"/>
        <rFont val="Arial"/>
        <family val="2"/>
      </rPr>
      <t xml:space="preserve"> =</t>
    </r>
  </si>
  <si>
    <r>
      <t>D</t>
    </r>
    <r>
      <rPr>
        <b/>
        <sz val="10"/>
        <rFont val="Arial"/>
        <family val="2"/>
      </rPr>
      <t>Ex</t>
    </r>
    <r>
      <rPr>
        <b/>
        <vertAlign val="subscript"/>
        <sz val="10"/>
        <rFont val="Arial"/>
        <family val="2"/>
      </rPr>
      <t>stor</t>
    </r>
    <r>
      <rPr>
        <b/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</si>
  <si>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emis</t>
    </r>
    <r>
      <rPr>
        <sz val="10"/>
        <rFont val="Arial"/>
        <family val="2"/>
      </rPr>
      <t xml:space="preserve"> = {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/(T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ret</t>
    </r>
    <r>
      <rPr>
        <sz val="10"/>
        <rFont val="Arial"/>
        <family val="2"/>
      </rPr>
      <t>)}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*  {(T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- T</t>
    </r>
    <r>
      <rPr>
        <vertAlign val="subscript"/>
        <sz val="10"/>
        <rFont val="eturn"/>
        <family val="0"/>
      </rPr>
      <t>ret</t>
    </r>
    <r>
      <rPr>
        <sz val="10"/>
        <rFont val="eturn"/>
        <family val="0"/>
      </rPr>
      <t>) - T</t>
    </r>
    <r>
      <rPr>
        <vertAlign val="subscript"/>
        <sz val="10"/>
        <rFont val="eturn"/>
        <family val="0"/>
      </rPr>
      <t>ref</t>
    </r>
    <r>
      <rPr>
        <sz val="10"/>
        <rFont val="eturn"/>
        <family val="0"/>
      </rPr>
      <t xml:space="preserve"> * ln (T</t>
    </r>
    <r>
      <rPr>
        <vertAlign val="subscript"/>
        <sz val="10"/>
        <rFont val="eturn"/>
        <family val="0"/>
      </rPr>
      <t xml:space="preserve">in </t>
    </r>
    <r>
      <rPr>
        <sz val="10"/>
        <rFont val="eturn"/>
        <family val="0"/>
      </rPr>
      <t>/ T</t>
    </r>
    <r>
      <rPr>
        <vertAlign val="subscript"/>
        <sz val="10"/>
        <rFont val="eturn"/>
        <family val="0"/>
      </rPr>
      <t xml:space="preserve">ret </t>
    </r>
    <r>
      <rPr>
        <sz val="10"/>
        <rFont val="eturn"/>
        <family val="0"/>
      </rPr>
      <t>)}</t>
    </r>
  </si>
  <si>
    <r>
      <t>Ex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=       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   *   F</t>
    </r>
    <r>
      <rPr>
        <vertAlign val="subscript"/>
        <sz val="10"/>
        <rFont val="Arial"/>
        <family val="2"/>
      </rPr>
      <t>q,S</t>
    </r>
  </si>
  <si>
    <t xml:space="preserve">
Generation</t>
  </si>
  <si>
    <t>Auxiliary energy generation [W]:</t>
  </si>
  <si>
    <t>Exergy load generation [W]:</t>
  </si>
  <si>
    <t>Req. energy of generation [W]:</t>
  </si>
  <si>
    <t>Req. primary energy input [W]:</t>
  </si>
  <si>
    <r>
      <t>E</t>
    </r>
    <r>
      <rPr>
        <b/>
        <vertAlign val="subscript"/>
        <sz val="10"/>
        <rFont val="Arial"/>
        <family val="2"/>
      </rPr>
      <t>prim,tot</t>
    </r>
    <r>
      <rPr>
        <b/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</si>
  <si>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prim,tot</t>
    </r>
    <r>
      <rPr>
        <sz val="10"/>
        <rFont val="Arial"/>
        <family val="2"/>
      </rPr>
      <t xml:space="preserve"> = </t>
    </r>
  </si>
  <si>
    <t>Add. renew. energy input [W]:</t>
  </si>
  <si>
    <r>
      <t>E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2"/>
      </rPr>
      <t xml:space="preserve"> = </t>
    </r>
  </si>
  <si>
    <r>
      <t>E</t>
    </r>
    <r>
      <rPr>
        <b/>
        <vertAlign val="subscript"/>
        <sz val="10"/>
        <rFont val="Arial"/>
        <family val="2"/>
      </rPr>
      <t>renew</t>
    </r>
    <r>
      <rPr>
        <b/>
        <sz val="10"/>
        <rFont val="Arial"/>
        <family val="2"/>
      </rPr>
      <t xml:space="preserve"> = </t>
    </r>
  </si>
  <si>
    <t>part Environmental energy</t>
  </si>
  <si>
    <r>
      <t>Part. environmental energy F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0"/>
      </rPr>
      <t xml:space="preserve"> [-]</t>
    </r>
  </si>
  <si>
    <r>
      <t>E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2"/>
      </rPr>
      <t xml:space="preserve"> =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 xml:space="preserve">ge  </t>
    </r>
    <r>
      <rPr>
        <sz val="10"/>
        <rFont val="Arial"/>
        <family val="2"/>
      </rPr>
      <t>*  F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2"/>
      </rPr>
      <t xml:space="preserve">    +    E</t>
    </r>
    <r>
      <rPr>
        <vertAlign val="subscript"/>
        <sz val="10"/>
        <rFont val="Arial"/>
        <family val="2"/>
      </rPr>
      <t>environment</t>
    </r>
  </si>
  <si>
    <t>Results of the calculation:</t>
  </si>
  <si>
    <t>Figure 1: Exergy and energy flows through components</t>
  </si>
  <si>
    <t>rel exergy loss</t>
  </si>
  <si>
    <t>EW 1</t>
  </si>
  <si>
    <t>EW 2</t>
  </si>
  <si>
    <t>EW 3</t>
  </si>
  <si>
    <t>EW 4</t>
  </si>
  <si>
    <t>R 1</t>
  </si>
  <si>
    <t>R 2</t>
  </si>
  <si>
    <t>R 3</t>
  </si>
  <si>
    <t>R 4</t>
  </si>
  <si>
    <t>R 5</t>
  </si>
  <si>
    <t>RW 1</t>
  </si>
  <si>
    <t>RW 2</t>
  </si>
  <si>
    <t>uhW 1</t>
  </si>
  <si>
    <t>uhW 2</t>
  </si>
  <si>
    <t>Emplacement</t>
  </si>
  <si>
    <r>
      <t>f</t>
    </r>
    <r>
      <rPr>
        <vertAlign val="subscript"/>
        <sz val="10"/>
        <rFont val="Arial"/>
        <family val="2"/>
      </rPr>
      <t>emplacement</t>
    </r>
  </si>
  <si>
    <t>Goal f1!!!</t>
  </si>
  <si>
    <t>no distribution</t>
  </si>
  <si>
    <t>Insulation</t>
  </si>
  <si>
    <r>
      <t>f</t>
    </r>
    <r>
      <rPr>
        <vertAlign val="subscript"/>
        <sz val="10"/>
        <rFont val="Arial"/>
        <family val="2"/>
      </rPr>
      <t>insulation</t>
    </r>
  </si>
  <si>
    <t>Goal f2!!!</t>
  </si>
  <si>
    <t>No insulation</t>
  </si>
  <si>
    <t>Good insulation</t>
  </si>
  <si>
    <t>Bad insulation</t>
  </si>
  <si>
    <t>Design temperature</t>
  </si>
  <si>
    <r>
      <t>f</t>
    </r>
    <r>
      <rPr>
        <vertAlign val="subscript"/>
        <sz val="10"/>
        <rFont val="Arial"/>
        <family val="2"/>
      </rPr>
      <t>designtemperature</t>
    </r>
  </si>
  <si>
    <t>Goal f3!!!</t>
  </si>
  <si>
    <t>Low (&lt;35°C)</t>
  </si>
  <si>
    <t>Middle (&lt;50°C)</t>
  </si>
  <si>
    <t>High (other)</t>
  </si>
  <si>
    <t>Goal f4!!!</t>
  </si>
  <si>
    <t>Temperature drop</t>
  </si>
  <si>
    <r>
      <t>f</t>
    </r>
    <r>
      <rPr>
        <vertAlign val="subscript"/>
        <sz val="10"/>
        <rFont val="Arial"/>
        <family val="2"/>
      </rPr>
      <t>temperaturedrop</t>
    </r>
  </si>
  <si>
    <t>Source of all values: Johann Zirngibl and Claude Francois; CSTB, FRANCE</t>
  </si>
  <si>
    <t>Low (&lt;5K)</t>
  </si>
  <si>
    <t>Middle (&lt;10K)</t>
  </si>
  <si>
    <t>[K]</t>
  </si>
  <si>
    <t>temperature drop</t>
  </si>
  <si>
    <t>Pr_Dif</t>
  </si>
  <si>
    <t>Pa</t>
  </si>
  <si>
    <t>MFL_AV</t>
  </si>
  <si>
    <t>m3/s</t>
  </si>
  <si>
    <t>Johann Zirngbl &amp; Claude Francois</t>
  </si>
  <si>
    <t>energy gains</t>
  </si>
  <si>
    <t>energy loss</t>
  </si>
  <si>
    <t>transmision window</t>
  </si>
  <si>
    <t>transmission roof</t>
  </si>
  <si>
    <t>transmission ground</t>
  </si>
  <si>
    <t xml:space="preserve">ventilation </t>
  </si>
  <si>
    <t>solar (windows)</t>
  </si>
  <si>
    <t>internal</t>
  </si>
  <si>
    <t>prim transform</t>
  </si>
  <si>
    <t>primary energy</t>
  </si>
  <si>
    <t>transmission walls</t>
  </si>
  <si>
    <t xml:space="preserve">sum: </t>
  </si>
  <si>
    <t>Temperature</t>
  </si>
  <si>
    <r>
      <t>F</t>
    </r>
    <r>
      <rPr>
        <vertAlign val="subscript"/>
        <sz val="10"/>
        <rFont val="Arial"/>
        <family val="2"/>
      </rPr>
      <t>loss,S</t>
    </r>
    <r>
      <rPr>
        <sz val="10"/>
        <rFont val="Arial"/>
        <family val="2"/>
      </rPr>
      <t xml:space="preserve"> =</t>
    </r>
  </si>
  <si>
    <t>system heat losses</t>
  </si>
  <si>
    <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 xml:space="preserve"> =   </t>
    </r>
  </si>
  <si>
    <t>exergy supply</t>
  </si>
  <si>
    <t>exergy demand</t>
  </si>
  <si>
    <t>primary exergy</t>
  </si>
  <si>
    <t>Envelope</t>
  </si>
  <si>
    <t>Room Air</t>
  </si>
  <si>
    <t>Emission</t>
  </si>
  <si>
    <t>Distribution</t>
  </si>
  <si>
    <t>Storage</t>
  </si>
  <si>
    <t>Generation</t>
  </si>
  <si>
    <t>Primary exergy</t>
  </si>
  <si>
    <t>Figure 3: Energy gains and losses</t>
  </si>
  <si>
    <t>Figure 4: Exergy supply and demand</t>
  </si>
  <si>
    <t>Exergy demand storage [W]:</t>
  </si>
  <si>
    <t>Exergy demand emission [W]:</t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</si>
  <si>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>"</t>
    </r>
    <r>
      <rPr>
        <vertAlign val="subscript"/>
        <sz val="10"/>
        <rFont val="Arial"/>
        <family val="2"/>
      </rPr>
      <t>i,e</t>
    </r>
    <r>
      <rPr>
        <sz val="10"/>
        <rFont val="Arial"/>
        <family val="0"/>
      </rPr>
      <t xml:space="preserve">   =</t>
    </r>
  </si>
  <si>
    <r>
      <t xml:space="preserve">                   </t>
    </r>
    <r>
      <rPr>
        <sz val="10"/>
        <rFont val="Symbol"/>
        <family val="1"/>
      </rPr>
      <t>F</t>
    </r>
    <r>
      <rPr>
        <sz val="10"/>
        <rFont val="Arial"/>
        <family val="2"/>
      </rPr>
      <t>"</t>
    </r>
    <r>
      <rPr>
        <vertAlign val="subscript"/>
        <sz val="10"/>
        <rFont val="Arial"/>
        <family val="2"/>
      </rPr>
      <t>i,e</t>
    </r>
    <r>
      <rPr>
        <sz val="10"/>
        <rFont val="Arial"/>
        <family val="0"/>
      </rPr>
      <t xml:space="preserve">          *            A</t>
    </r>
    <r>
      <rPr>
        <vertAlign val="subscript"/>
        <sz val="10"/>
        <rFont val="Arial"/>
        <family val="2"/>
      </rPr>
      <t>N</t>
    </r>
  </si>
  <si>
    <t>6. Heat production and emission</t>
  </si>
  <si>
    <t>Boiler position</t>
  </si>
  <si>
    <t>Error messages</t>
  </si>
  <si>
    <t>84 avenue Jean Jaurès</t>
  </si>
  <si>
    <t>F-77421 Marne-la-Vallée Cedex 2</t>
  </si>
  <si>
    <t>FRANCE</t>
  </si>
  <si>
    <t xml:space="preserve">With kind support of </t>
  </si>
  <si>
    <t>Kirsten Höttges; Dep. of Building Physics; University of Kassel; D-34109 Kassel; GERMANY</t>
  </si>
  <si>
    <t>Electrical energy</t>
  </si>
  <si>
    <t>inefficeint generation</t>
  </si>
  <si>
    <t>electrical energy</t>
  </si>
  <si>
    <t>rel energy loss</t>
  </si>
  <si>
    <t>Primary energy transform</t>
  </si>
  <si>
    <t>Room air</t>
  </si>
  <si>
    <t>Figure 2: Exergy losses / consumption by components</t>
  </si>
  <si>
    <r>
      <t xml:space="preserve">   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                p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 xml:space="preserve">     *      A</t>
    </r>
    <r>
      <rPr>
        <vertAlign val="subscript"/>
        <sz val="10"/>
        <rFont val="Arial"/>
        <family val="2"/>
      </rPr>
      <t xml:space="preserve">N  </t>
    </r>
    <r>
      <rPr>
        <sz val="10"/>
        <rFont val="Arial"/>
        <family val="2"/>
      </rPr>
      <t xml:space="preserve">                           =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i,l</t>
    </r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</si>
  <si>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Symbol"/>
        <family val="1"/>
      </rPr>
      <t xml:space="preserve">  =   (F</t>
    </r>
    <r>
      <rPr>
        <vertAlign val="subscript"/>
        <sz val="10"/>
        <rFont val="Symbol"/>
        <family val="1"/>
      </rPr>
      <t>T</t>
    </r>
    <r>
      <rPr>
        <sz val="10"/>
        <rFont val="Symbol"/>
        <family val="1"/>
      </rPr>
      <t xml:space="preserve"> + F</t>
    </r>
    <r>
      <rPr>
        <vertAlign val="subscript"/>
        <sz val="10"/>
        <rFont val="Arial"/>
        <family val="2"/>
      </rPr>
      <t>V</t>
    </r>
    <r>
      <rPr>
        <sz val="10"/>
        <rFont val="Symbol"/>
        <family val="1"/>
      </rPr>
      <t>) - (F</t>
    </r>
    <r>
      <rPr>
        <vertAlign val="subscript"/>
        <sz val="10"/>
        <rFont val="Arial"/>
        <family val="2"/>
      </rPr>
      <t>s</t>
    </r>
    <r>
      <rPr>
        <sz val="10"/>
        <rFont val="Symbol"/>
        <family val="1"/>
      </rPr>
      <t xml:space="preserve"> + F</t>
    </r>
    <r>
      <rPr>
        <vertAlign val="subscript"/>
        <sz val="10"/>
        <rFont val="Arial"/>
        <family val="2"/>
      </rPr>
      <t>i,o</t>
    </r>
    <r>
      <rPr>
        <sz val="10"/>
        <rFont val="Symbol"/>
        <family val="1"/>
      </rPr>
      <t xml:space="preserve"> + F</t>
    </r>
    <r>
      <rPr>
        <vertAlign val="subscript"/>
        <sz val="10"/>
        <rFont val="Arial"/>
        <family val="2"/>
      </rPr>
      <t>i,e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i,l</t>
    </r>
    <r>
      <rPr>
        <sz val="10"/>
        <rFont val="Symbol"/>
        <family val="1"/>
      </rPr>
      <t>)</t>
    </r>
  </si>
  <si>
    <t>Exergy demand distribution [W]:</t>
  </si>
  <si>
    <r>
      <t xml:space="preserve">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[-]</t>
    </r>
  </si>
  <si>
    <r>
      <t>q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2"/>
      </rPr>
      <t xml:space="preserve"> =                 </t>
    </r>
    <r>
      <rPr>
        <sz val="10"/>
        <rFont val="Symbol"/>
        <family val="1"/>
      </rPr>
      <t>D</t>
    </r>
    <r>
      <rPr>
        <sz val="10"/>
        <rFont val="Arial"/>
        <family val="2"/>
      </rPr>
      <t>log</t>
    </r>
    <r>
      <rPr>
        <sz val="10"/>
        <rFont val="Symbol"/>
        <family val="1"/>
      </rPr>
      <t>q</t>
    </r>
    <r>
      <rPr>
        <sz val="10"/>
        <rFont val="Arial"/>
        <family val="2"/>
      </rPr>
      <t xml:space="preserve"> /2    +          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i</t>
    </r>
  </si>
  <si>
    <r>
      <t>F</t>
    </r>
    <r>
      <rPr>
        <vertAlign val="subscript"/>
        <sz val="10"/>
        <rFont val="Arial"/>
        <family val="2"/>
      </rPr>
      <t xml:space="preserve">q,heater </t>
    </r>
    <r>
      <rPr>
        <sz val="10"/>
        <rFont val="Arial"/>
        <family val="2"/>
      </rPr>
      <t>=           1   -   T</t>
    </r>
    <r>
      <rPr>
        <vertAlign val="subscript"/>
        <sz val="10"/>
        <rFont val="Arial"/>
        <family val="2"/>
      </rPr>
      <t xml:space="preserve">e  </t>
    </r>
    <r>
      <rPr>
        <sz val="10"/>
        <rFont val="Arial"/>
        <family val="2"/>
      </rPr>
      <t>/  T</t>
    </r>
    <r>
      <rPr>
        <vertAlign val="subscript"/>
        <sz val="10"/>
        <rFont val="Arial"/>
        <family val="2"/>
      </rPr>
      <t>heat</t>
    </r>
  </si>
  <si>
    <r>
      <t>F</t>
    </r>
    <r>
      <rPr>
        <vertAlign val="subscript"/>
        <sz val="10"/>
        <rFont val="Arial"/>
        <family val="2"/>
      </rPr>
      <t xml:space="preserve">q,heater </t>
    </r>
    <r>
      <rPr>
        <sz val="10"/>
        <rFont val="Arial"/>
        <family val="2"/>
      </rPr>
      <t xml:space="preserve">= </t>
    </r>
  </si>
  <si>
    <t>4. Other uses</t>
  </si>
  <si>
    <r>
      <t>5. Heat demand</t>
    </r>
    <r>
      <rPr>
        <b/>
        <sz val="11"/>
        <rFont val="Arial"/>
        <family val="2"/>
      </rPr>
      <t xml:space="preserve"> </t>
    </r>
    <r>
      <rPr>
        <b/>
        <sz val="11"/>
        <rFont val="Symbol"/>
        <family val="1"/>
      </rPr>
      <t>F</t>
    </r>
    <r>
      <rPr>
        <b/>
        <vertAlign val="subscript"/>
        <sz val="11"/>
        <rFont val="Arial"/>
        <family val="2"/>
      </rPr>
      <t>h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[W]</t>
    </r>
  </si>
  <si>
    <t>Solar fraction</t>
  </si>
  <si>
    <r>
      <t>Solar fraction 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[-]</t>
    </r>
  </si>
  <si>
    <t>?</t>
  </si>
  <si>
    <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 =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loss,S</t>
    </r>
    <r>
      <rPr>
        <sz val="10"/>
        <rFont val="Arial"/>
        <family val="2"/>
      </rPr>
      <t>) * (1-F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)  /  </t>
    </r>
    <r>
      <rPr>
        <sz val="10"/>
        <rFont val="Symbol"/>
        <family val="1"/>
      </rPr>
      <t>h</t>
    </r>
    <r>
      <rPr>
        <vertAlign val="subscript"/>
        <sz val="10"/>
        <rFont val="Symbol"/>
        <family val="1"/>
      </rPr>
      <t>B</t>
    </r>
  </si>
  <si>
    <t>lighting</t>
  </si>
  <si>
    <t>ventilation elec</t>
  </si>
  <si>
    <t>DHW</t>
  </si>
  <si>
    <t>CSTB - Energy Systems and Environment</t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</si>
  <si>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dis</t>
    </r>
    <r>
      <rPr>
        <sz val="10"/>
        <rFont val="Arial"/>
        <family val="2"/>
      </rPr>
      <t xml:space="preserve"> = {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 xml:space="preserve">loss,D </t>
    </r>
    <r>
      <rPr>
        <sz val="10"/>
        <rFont val="Arial"/>
        <family val="2"/>
      </rPr>
      <t xml:space="preserve">/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dis</t>
    </r>
    <r>
      <rPr>
        <sz val="10"/>
        <rFont val="Arial"/>
        <family val="2"/>
      </rPr>
      <t xml:space="preserve"> }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*  {(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dis</t>
    </r>
    <r>
      <rPr>
        <sz val="10"/>
        <rFont val="eturn"/>
        <family val="0"/>
      </rPr>
      <t xml:space="preserve"> - T</t>
    </r>
    <r>
      <rPr>
        <vertAlign val="subscript"/>
        <sz val="10"/>
        <rFont val="eturn"/>
        <family val="0"/>
      </rPr>
      <t>ref</t>
    </r>
    <r>
      <rPr>
        <sz val="10"/>
        <rFont val="eturn"/>
        <family val="0"/>
      </rPr>
      <t xml:space="preserve"> * ln ( T</t>
    </r>
    <r>
      <rPr>
        <vertAlign val="subscript"/>
        <sz val="10"/>
        <rFont val="eturn"/>
        <family val="0"/>
      </rPr>
      <t xml:space="preserve">dis </t>
    </r>
    <r>
      <rPr>
        <sz val="10"/>
        <rFont val="eturn"/>
        <family val="0"/>
      </rPr>
      <t>/ T</t>
    </r>
    <r>
      <rPr>
        <vertAlign val="subscript"/>
        <sz val="10"/>
        <rFont val="eturn"/>
        <family val="0"/>
      </rPr>
      <t xml:space="preserve">dis </t>
    </r>
    <r>
      <rPr>
        <sz val="10"/>
        <rFont val="eturn"/>
        <family val="0"/>
      </rPr>
      <t xml:space="preserve">- </t>
    </r>
    <r>
      <rPr>
        <sz val="10"/>
        <rFont val="Symbol"/>
        <family val="1"/>
      </rPr>
      <t>D</t>
    </r>
    <r>
      <rPr>
        <sz val="10"/>
        <rFont val="eturn"/>
        <family val="0"/>
      </rPr>
      <t>T</t>
    </r>
    <r>
      <rPr>
        <vertAlign val="subscript"/>
        <sz val="10"/>
        <rFont val="eturn"/>
        <family val="0"/>
      </rPr>
      <t xml:space="preserve">dis </t>
    </r>
    <r>
      <rPr>
        <sz val="10"/>
        <rFont val="eturn"/>
        <family val="0"/>
      </rPr>
      <t>)}</t>
    </r>
  </si>
  <si>
    <t>Assumed storagevolume for Small storage is 100I, for seasonal 10.000m3?</t>
  </si>
  <si>
    <t>K</t>
  </si>
  <si>
    <t>temp drop storage:</t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</si>
  <si>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stor</t>
    </r>
    <r>
      <rPr>
        <sz val="10"/>
        <rFont val="Arial"/>
        <family val="2"/>
      </rPr>
      <t xml:space="preserve"> = {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 xml:space="preserve">loss,S </t>
    </r>
    <r>
      <rPr>
        <sz val="10"/>
        <rFont val="Arial"/>
        <family val="2"/>
      </rPr>
      <t xml:space="preserve">/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sto</t>
    </r>
    <r>
      <rPr>
        <sz val="10"/>
        <rFont val="Arial"/>
        <family val="2"/>
      </rPr>
      <t xml:space="preserve"> }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*  {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sto</t>
    </r>
    <r>
      <rPr>
        <sz val="10"/>
        <rFont val="eturn"/>
        <family val="0"/>
      </rPr>
      <t xml:space="preserve"> - T</t>
    </r>
    <r>
      <rPr>
        <vertAlign val="subscript"/>
        <sz val="10"/>
        <rFont val="eturn"/>
        <family val="0"/>
      </rPr>
      <t>ref</t>
    </r>
    <r>
      <rPr>
        <sz val="10"/>
        <rFont val="eturn"/>
        <family val="0"/>
      </rPr>
      <t xml:space="preserve"> * ln ( T</t>
    </r>
    <r>
      <rPr>
        <vertAlign val="subscript"/>
        <sz val="10"/>
        <rFont val="eturn"/>
        <family val="0"/>
      </rPr>
      <t>dis</t>
    </r>
    <r>
      <rPr>
        <sz val="10"/>
        <rFont val="eturn"/>
        <family val="0"/>
      </rPr>
      <t xml:space="preserve"> + </t>
    </r>
    <r>
      <rPr>
        <sz val="10"/>
        <rFont val="Symbol"/>
        <family val="1"/>
      </rPr>
      <t>D</t>
    </r>
    <r>
      <rPr>
        <sz val="10"/>
        <rFont val="eturn"/>
        <family val="0"/>
      </rPr>
      <t>T</t>
    </r>
    <r>
      <rPr>
        <vertAlign val="subscript"/>
        <sz val="10"/>
        <rFont val="eturn"/>
        <family val="0"/>
      </rPr>
      <t xml:space="preserve">dis </t>
    </r>
    <r>
      <rPr>
        <sz val="10"/>
        <rFont val="eturn"/>
        <family val="0"/>
      </rPr>
      <t>/ T</t>
    </r>
    <r>
      <rPr>
        <vertAlign val="subscript"/>
        <sz val="10"/>
        <rFont val="eturn"/>
        <family val="0"/>
      </rPr>
      <t>dis</t>
    </r>
    <r>
      <rPr>
        <sz val="10"/>
        <rFont val="eturn"/>
        <family val="0"/>
      </rPr>
      <t xml:space="preserve"> + </t>
    </r>
    <r>
      <rPr>
        <sz val="10"/>
        <rFont val="Symbol"/>
        <family val="1"/>
      </rPr>
      <t>D</t>
    </r>
    <r>
      <rPr>
        <sz val="10"/>
        <rFont val="eturn"/>
        <family val="0"/>
      </rPr>
      <t>T</t>
    </r>
    <r>
      <rPr>
        <vertAlign val="subscript"/>
        <sz val="10"/>
        <rFont val="eturn"/>
        <family val="0"/>
      </rPr>
      <t>dis</t>
    </r>
    <r>
      <rPr>
        <sz val="10"/>
        <rFont val="eturn"/>
        <family val="0"/>
      </rPr>
      <t xml:space="preserve"> - </t>
    </r>
    <r>
      <rPr>
        <sz val="10"/>
        <rFont val="Symbol"/>
        <family val="1"/>
      </rPr>
      <t>D</t>
    </r>
    <r>
      <rPr>
        <sz val="10"/>
        <rFont val="eturn"/>
        <family val="0"/>
      </rPr>
      <t>T</t>
    </r>
    <r>
      <rPr>
        <vertAlign val="subscript"/>
        <sz val="10"/>
        <rFont val="eturn"/>
        <family val="0"/>
      </rPr>
      <t xml:space="preserve">sto </t>
    </r>
    <r>
      <rPr>
        <sz val="10"/>
        <rFont val="eturn"/>
        <family val="0"/>
      </rPr>
      <t>)}</t>
    </r>
  </si>
  <si>
    <t>Number of occupants [-]:</t>
  </si>
  <si>
    <r>
      <t xml:space="preserve">   no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  =   </t>
    </r>
  </si>
  <si>
    <r>
      <t xml:space="preserve">                   no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         *            </t>
    </r>
    <r>
      <rPr>
        <sz val="10"/>
        <rFont val="Symbol"/>
        <family val="1"/>
      </rPr>
      <t>F</t>
    </r>
    <r>
      <rPr>
        <sz val="10"/>
        <rFont val="Arial"/>
        <family val="0"/>
      </rPr>
      <t>"</t>
    </r>
    <r>
      <rPr>
        <vertAlign val="subscript"/>
        <sz val="10"/>
        <rFont val="Arial"/>
        <family val="2"/>
      </rPr>
      <t>i,o</t>
    </r>
  </si>
  <si>
    <t>emitted heat per occupant [W]</t>
  </si>
  <si>
    <t>total</t>
  </si>
  <si>
    <t>per Volume</t>
  </si>
  <si>
    <t>per Area</t>
  </si>
  <si>
    <t>Energy input (primary and renewable energy + internal and solar gains)</t>
  </si>
  <si>
    <t>Energy quality of envelope (heat demand + internal and solar gains)</t>
  </si>
  <si>
    <t>Total exergy system efficiency (exergy demand room / total exergy input)</t>
  </si>
  <si>
    <t>Exergy flexibility factor (exergy demand emission / total exergy input)</t>
  </si>
  <si>
    <t>Results in key figures</t>
  </si>
  <si>
    <t>incl. internal &amp; sloar gains</t>
  </si>
  <si>
    <t>exergy incl. gains</t>
  </si>
  <si>
    <t>system energy total</t>
  </si>
  <si>
    <t>system exergy total</t>
  </si>
  <si>
    <t xml:space="preserve">
Energy transformation</t>
  </si>
  <si>
    <t>No DHW production</t>
  </si>
  <si>
    <t>Input Temperature</t>
  </si>
  <si>
    <t>Flow</t>
  </si>
  <si>
    <t>[l/pers*d]</t>
  </si>
  <si>
    <t>Efficiency boiler</t>
  </si>
  <si>
    <t>Dwelling; local electric boiler</t>
  </si>
  <si>
    <r>
      <t xml:space="preserve">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G,DHW</t>
    </r>
    <r>
      <rPr>
        <sz val="10"/>
        <rFont val="Arial"/>
        <family val="0"/>
      </rPr>
      <t xml:space="preserve"> [-]</t>
    </r>
  </si>
  <si>
    <r>
      <t>Primary energy factor source F</t>
    </r>
    <r>
      <rPr>
        <vertAlign val="subscript"/>
        <sz val="10"/>
        <rFont val="Arial"/>
        <family val="2"/>
      </rPr>
      <t>P,DHW</t>
    </r>
    <r>
      <rPr>
        <sz val="10"/>
        <rFont val="Arial"/>
        <family val="0"/>
      </rPr>
      <t xml:space="preserve"> [-]</t>
    </r>
  </si>
  <si>
    <r>
      <t>Quality factor of source F</t>
    </r>
    <r>
      <rPr>
        <vertAlign val="subscript"/>
        <sz val="10"/>
        <rFont val="Arial"/>
        <family val="2"/>
      </rPr>
      <t>q,S,DHW</t>
    </r>
    <r>
      <rPr>
        <sz val="10"/>
        <rFont val="Arial"/>
        <family val="0"/>
      </rPr>
      <t xml:space="preserve"> [-]</t>
    </r>
  </si>
  <si>
    <t>Dwelling; same boiler as for heating system</t>
  </si>
  <si>
    <r>
      <t>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  <r>
      <rPr>
        <sz val="10"/>
        <rFont val="Arial"/>
        <family val="2"/>
      </rPr>
      <t xml:space="preserve">                         </t>
    </r>
  </si>
  <si>
    <r>
      <t>P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 </t>
    </r>
  </si>
  <si>
    <t>DHW energy demand [W]</t>
  </si>
  <si>
    <r>
      <t>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                V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 xml:space="preserve">    * 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* </t>
    </r>
    <r>
      <rPr>
        <sz val="10"/>
        <rFont val="Symbol"/>
        <family val="1"/>
      </rPr>
      <t xml:space="preserve">r     </t>
    </r>
    <r>
      <rPr>
        <sz val="10"/>
        <rFont val="Arial"/>
        <family val="2"/>
      </rPr>
      <t xml:space="preserve">   *           </t>
    </r>
    <r>
      <rPr>
        <sz val="10"/>
        <rFont val="Symbol"/>
        <family val="1"/>
      </rPr>
      <t>D</t>
    </r>
    <r>
      <rPr>
        <sz val="10"/>
        <rFont val="Arial"/>
        <family val="2"/>
      </rPr>
      <t>T  *  no</t>
    </r>
    <r>
      <rPr>
        <vertAlign val="subscript"/>
        <sz val="10"/>
        <rFont val="Arial"/>
        <family val="2"/>
      </rPr>
      <t xml:space="preserve">o   </t>
    </r>
    <r>
      <rPr>
        <sz val="10"/>
        <rFont val="Arial"/>
        <family val="2"/>
      </rPr>
      <t xml:space="preserve">          /   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G,DHW</t>
    </r>
    <r>
      <rPr>
        <sz val="10"/>
        <rFont val="Arial"/>
        <family val="2"/>
      </rPr>
      <t xml:space="preserve">     </t>
    </r>
  </si>
  <si>
    <r>
      <t>Ex</t>
    </r>
    <r>
      <rPr>
        <vertAlign val="subscript"/>
        <sz val="10"/>
        <rFont val="Arial"/>
        <family val="2"/>
      </rPr>
      <t>plant</t>
    </r>
    <r>
      <rPr>
        <sz val="10"/>
        <rFont val="Arial"/>
        <family val="2"/>
      </rPr>
      <t xml:space="preserve"> =                (P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+ 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   *     F</t>
    </r>
    <r>
      <rPr>
        <vertAlign val="subscript"/>
        <sz val="10"/>
        <rFont val="Arial"/>
        <family val="2"/>
      </rPr>
      <t xml:space="preserve">q,electricity       </t>
    </r>
    <r>
      <rPr>
        <sz val="10"/>
        <rFont val="Arial"/>
        <family val="2"/>
      </rPr>
      <t>+      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  *  F</t>
    </r>
    <r>
      <rPr>
        <vertAlign val="subscript"/>
        <sz val="10"/>
        <rFont val="Arial"/>
        <family val="2"/>
      </rPr>
      <t>q,s,DHW</t>
    </r>
  </si>
  <si>
    <t>ok</t>
  </si>
  <si>
    <t>External air/water</t>
  </si>
  <si>
    <t>Inlet Temperature emission:</t>
  </si>
  <si>
    <t>Exhaust air/water</t>
  </si>
  <si>
    <t>Water / water</t>
  </si>
  <si>
    <t>Water with glycol / water</t>
  </si>
  <si>
    <t>Heat pumps waterborne</t>
  </si>
  <si>
    <t>Office; local electric boiler</t>
  </si>
  <si>
    <r>
      <t>DHW demand 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[l/pers</t>
    </r>
    <r>
      <rPr>
        <vertAlign val="superscript"/>
        <sz val="10"/>
        <rFont val="Arial"/>
        <family val="2"/>
      </rPr>
      <t>.</t>
    </r>
    <r>
      <rPr>
        <sz val="10"/>
        <rFont val="Arial"/>
        <family val="0"/>
      </rPr>
      <t>d]</t>
    </r>
  </si>
  <si>
    <r>
      <t>E</t>
    </r>
    <r>
      <rPr>
        <vertAlign val="subscript"/>
        <sz val="10"/>
        <rFont val="Arial"/>
        <family val="2"/>
      </rPr>
      <t>prim,tot</t>
    </r>
    <r>
      <rPr>
        <sz val="10"/>
        <rFont val="Arial"/>
        <family val="2"/>
      </rPr>
      <t xml:space="preserve"> =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* 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  +  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+</t>
    </r>
    <r>
      <rPr>
        <sz val="10"/>
        <rFont val="Symbol"/>
        <family val="1"/>
      </rPr>
      <t>S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aux</t>
    </r>
    <r>
      <rPr>
        <sz val="10"/>
        <rFont val="Arial"/>
        <family val="2"/>
      </rPr>
      <t>) * F</t>
    </r>
    <r>
      <rPr>
        <vertAlign val="subscript"/>
        <sz val="10"/>
        <rFont val="Arial"/>
        <family val="2"/>
      </rPr>
      <t xml:space="preserve">P,electricity     </t>
    </r>
    <r>
      <rPr>
        <sz val="10"/>
        <rFont val="Arial"/>
        <family val="2"/>
      </rPr>
      <t>+   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 *   F</t>
    </r>
    <r>
      <rPr>
        <vertAlign val="subscript"/>
        <sz val="10"/>
        <rFont val="Arial"/>
        <family val="2"/>
      </rPr>
      <t>P,DHW</t>
    </r>
  </si>
  <si>
    <r>
      <t>Ex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 xml:space="preserve">  =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q,S</t>
    </r>
    <r>
      <rPr>
        <sz val="10"/>
        <rFont val="Arial"/>
        <family val="2"/>
      </rPr>
      <t>+(P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+</t>
    </r>
    <r>
      <rPr>
        <sz val="10"/>
        <rFont val="Symbol"/>
        <family val="1"/>
      </rPr>
      <t>S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aux</t>
    </r>
    <r>
      <rPr>
        <sz val="10"/>
        <rFont val="Arial"/>
        <family val="2"/>
      </rPr>
      <t>)*F</t>
    </r>
    <r>
      <rPr>
        <vertAlign val="subscript"/>
        <sz val="10"/>
        <rFont val="Arial"/>
        <family val="2"/>
      </rPr>
      <t>P,elec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q,elec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P,DHW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q,S,DHW</t>
    </r>
    <r>
      <rPr>
        <sz val="10"/>
        <rFont val="Arial"/>
        <family val="2"/>
      </rPr>
      <t>+E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q,renew</t>
    </r>
  </si>
  <si>
    <t>DHW production 
system:</t>
  </si>
  <si>
    <t xml:space="preserve">District heat </t>
  </si>
  <si>
    <t>[%] at 30%</t>
  </si>
  <si>
    <t>Condensing boiler</t>
  </si>
  <si>
    <t>Standard boiler</t>
  </si>
  <si>
    <t>Paux?</t>
  </si>
  <si>
    <t>Heat pump borehole water/glycol</t>
  </si>
  <si>
    <t>Ground heat pump water/water</t>
  </si>
  <si>
    <t>Heat pump external air/air</t>
  </si>
  <si>
    <t>Heat pump exhaust air/water</t>
  </si>
  <si>
    <t>Co-generation</t>
  </si>
  <si>
    <r>
      <t xml:space="preserve">Pre-design sheet for an exergy
optimised building design
</t>
    </r>
    <r>
      <rPr>
        <b/>
        <sz val="10"/>
        <rFont val="Arial"/>
        <family val="2"/>
      </rPr>
      <t>IEA ECBCS Annex 37</t>
    </r>
    <r>
      <rPr>
        <b/>
        <sz val="12"/>
        <rFont val="Arial"/>
        <family val="2"/>
      </rPr>
      <t xml:space="preserve">   
Steady state calculations
for heating case
</t>
    </r>
    <r>
      <rPr>
        <b/>
        <sz val="12"/>
        <color indexed="12"/>
        <rFont val="Arial"/>
        <family val="2"/>
      </rPr>
      <t>Version 2.3</t>
    </r>
  </si>
  <si>
    <t>Spec. internal gains of equipment [W/m²]:</t>
  </si>
  <si>
    <t>[W] const</t>
  </si>
  <si>
    <r>
      <t>P</t>
    </r>
    <r>
      <rPr>
        <vertAlign val="subscript"/>
        <sz val="10"/>
        <rFont val="Arial"/>
        <family val="2"/>
      </rPr>
      <t>aux,ge</t>
    </r>
    <r>
      <rPr>
        <sz val="10"/>
        <rFont val="Arial"/>
        <family val="2"/>
      </rPr>
      <t xml:space="preserve"> =         p</t>
    </r>
    <r>
      <rPr>
        <vertAlign val="subscript"/>
        <sz val="10"/>
        <rFont val="Arial"/>
        <family val="2"/>
      </rPr>
      <t>aux,ge</t>
    </r>
    <r>
      <rPr>
        <sz val="10"/>
        <rFont val="Arial"/>
        <family val="2"/>
      </rPr>
      <t xml:space="preserve">      *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loss,S</t>
    </r>
    <r>
      <rPr>
        <sz val="10"/>
        <rFont val="Arial"/>
        <family val="2"/>
      </rPr>
      <t>) + p</t>
    </r>
    <r>
      <rPr>
        <vertAlign val="subscript"/>
        <sz val="10"/>
        <rFont val="Arial"/>
        <family val="2"/>
      </rPr>
      <t>aus,ge,const</t>
    </r>
    <r>
      <rPr>
        <sz val="10"/>
        <rFont val="Arial"/>
        <family val="2"/>
      </rPr>
      <t xml:space="preserve"> </t>
    </r>
  </si>
  <si>
    <r>
      <t>P</t>
    </r>
    <r>
      <rPr>
        <vertAlign val="subscript"/>
        <sz val="10"/>
        <rFont val="Arial"/>
        <family val="2"/>
      </rPr>
      <t>aux,ge</t>
    </r>
    <r>
      <rPr>
        <sz val="10"/>
        <rFont val="Arial"/>
        <family val="2"/>
      </rPr>
      <t xml:space="preserve"> =     </t>
    </r>
  </si>
  <si>
    <r>
      <t>P</t>
    </r>
    <r>
      <rPr>
        <b/>
        <vertAlign val="subscript"/>
        <sz val="10"/>
        <rFont val="Arial"/>
        <family val="2"/>
      </rPr>
      <t>aux,ge</t>
    </r>
    <r>
      <rPr>
        <b/>
        <sz val="10"/>
        <rFont val="Arial"/>
        <family val="2"/>
      </rPr>
      <t xml:space="preserve"> =     </t>
    </r>
  </si>
  <si>
    <r>
      <t>Auxiliary energy p</t>
    </r>
    <r>
      <rPr>
        <vertAlign val="subscript"/>
        <sz val="10"/>
        <rFont val="Arial"/>
        <family val="2"/>
      </rPr>
      <t>aux,ge</t>
    </r>
    <r>
      <rPr>
        <sz val="10"/>
        <rFont val="Arial"/>
        <family val="0"/>
      </rP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</si>
  <si>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>Auxiliary energy p</t>
    </r>
    <r>
      <rPr>
        <vertAlign val="subscript"/>
        <sz val="10"/>
        <rFont val="Arial"/>
        <family val="2"/>
      </rPr>
      <t>aux,ge,const</t>
    </r>
    <r>
      <rPr>
        <sz val="10"/>
        <rFont val="Arial"/>
        <family val="0"/>
      </rPr>
      <t xml:space="preserve"> [W]</t>
    </r>
  </si>
  <si>
    <t>The ZUB Office Building, IEA Annex 37 Demoproject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</si>
</sst>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\-0.00;&quot;__________&quot;;@"/>
    <numFmt numFmtId="185" formatCode="&quot;=  &quot;#,##0.0;&quot;=  &quot;\ \-0.0;&quot;= ________&quot;;@"/>
    <numFmt numFmtId="186" formatCode="&quot;/   &quot;\ 0.00;&quot;/   &quot;\ \-0.00;&quot;/   __________&quot;;@"/>
    <numFmt numFmtId="187" formatCode="&quot;=  &quot;\ 0.00;&quot;=  &quot;\ \-0.00;&quot;=          &quot;;@"/>
    <numFmt numFmtId="188" formatCode="0.00;\-0.00;;"/>
    <numFmt numFmtId="189" formatCode="#,##0.00;\-0.00;;"/>
    <numFmt numFmtId="190" formatCode="#,##0.00;\-0.00;&quot;__________&quot;;@"/>
    <numFmt numFmtId="191" formatCode="&quot;*   &quot;#,##0.00;&quot;*   &quot;\ \-0.00;&quot;*   _________&quot;;@"/>
    <numFmt numFmtId="192" formatCode="&quot;*   &quot;#,##0.00;&quot;*   &quot;\ \-0.00;&quot;*   __________&quot;;@"/>
    <numFmt numFmtId="193" formatCode="0.00;\-0.00;&quot; __________&quot;;@"/>
    <numFmt numFmtId="194" formatCode="#,##0.00&quot;   *&quot;;\-0.00\ &quot;   *&quot;;&quot;                /&quot;;@"/>
    <numFmt numFmtId="195" formatCode="#,##0.00&quot;      -&quot;;\-0.00&quot;      -&quot;;&quot;           -&quot;;@"/>
    <numFmt numFmtId="196" formatCode="#,##0.00&quot;   *&quot;;\-0.00\ &quot;   *&quot;;&quot;                *&quot;;@"/>
    <numFmt numFmtId="197" formatCode="#,##0.00&quot;   /&quot;;\-0.00\ &quot;   /&quot;;&quot;                /&quot;;@"/>
    <numFmt numFmtId="198" formatCode="#,##0.00&quot;   +&quot;;\-0.00\ &quot;   *&quot;;&quot;                /&quot;;@"/>
    <numFmt numFmtId="199" formatCode="#,##0.00&quot;   +&quot;;\-0.00\ &quot;   +&quot;;&quot;                +&quot;;@"/>
    <numFmt numFmtId="200" formatCode="&quot;   &quot;#,##0.00;&quot;   &quot;\ \-0.00;&quot; _________&quot;;@"/>
    <numFmt numFmtId="201" formatCode="&quot;*   &quot;#,##0.00;&quot;+   &quot;\ \-0.00;&quot;+   &quot;;@"/>
    <numFmt numFmtId="202" formatCode="&quot;   &quot;#,##0.00;&quot;   &quot;\ \-0.00;&quot;&quot;;@"/>
    <numFmt numFmtId="203" formatCode="&quot;*   &quot;#,##0.00;&quot;*   &quot;\ \-0.00;&quot;*   &quot;;@"/>
    <numFmt numFmtId="204" formatCode="#,##0.00&quot;   *&quot;;\-0.00\ &quot;   *&quot;;&quot;             *&quot;;@"/>
    <numFmt numFmtId="205" formatCode="#,##0.00&quot;   +&quot;;\-0.00\ &quot;   *&quot;;&quot;                +&quot;;@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.0000"/>
    <numFmt numFmtId="210" formatCode="0.000000"/>
    <numFmt numFmtId="211" formatCode="0.00\ \W"/>
    <numFmt numFmtId="212" formatCode="0.00\ &quot;W/m²&quot;"/>
    <numFmt numFmtId="213" formatCode="0.00\ &quot;W/m³&quot;"/>
    <numFmt numFmtId="214" formatCode="0.00\ &quot;W&quot;"/>
    <numFmt numFmtId="215" formatCode="&quot;/   &quot;#,##0.00;&quot;/   &quot;\ \-0.00;&quot;/   &quot;;@"/>
    <numFmt numFmtId="216" formatCode="&quot;+   &quot;#,##0.00;&quot;+   &quot;\ \-0.00;&quot;+   &quot;;@"/>
  </numFmts>
  <fonts count="39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bscript"/>
      <sz val="8"/>
      <name val="Arial"/>
      <family val="2"/>
    </font>
    <font>
      <b/>
      <vertAlign val="subscript"/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eturn"/>
      <family val="0"/>
    </font>
    <font>
      <sz val="10"/>
      <name val="eturn"/>
      <family val="0"/>
    </font>
    <font>
      <vertAlign val="subscript"/>
      <sz val="10"/>
      <name val="Symbol"/>
      <family val="1"/>
    </font>
    <font>
      <vertAlign val="superscript"/>
      <sz val="10"/>
      <name val="Arial"/>
      <family val="2"/>
    </font>
    <font>
      <b/>
      <sz val="12"/>
      <name val="Symbol"/>
      <family val="1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4.25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vertAlign val="subscript"/>
      <sz val="10"/>
      <name val="Arial Narrow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b/>
      <sz val="17"/>
      <name val="Arial"/>
      <family val="2"/>
    </font>
    <font>
      <b/>
      <sz val="14.5"/>
      <name val="Arial"/>
      <family val="2"/>
    </font>
    <font>
      <b/>
      <sz val="13"/>
      <name val="Arial"/>
      <family val="2"/>
    </font>
    <font>
      <sz val="9.75"/>
      <name val="Arial"/>
      <family val="0"/>
    </font>
    <font>
      <b/>
      <sz val="13.25"/>
      <name val="Arial"/>
      <family val="2"/>
    </font>
    <font>
      <b/>
      <sz val="12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187" fontId="2" fillId="0" borderId="1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188" fontId="2" fillId="0" borderId="2" xfId="0" applyNumberFormat="1" applyFont="1" applyBorder="1" applyAlignment="1" applyProtection="1">
      <alignment horizontal="center" vertical="center"/>
      <protection/>
    </xf>
    <xf numFmtId="189" fontId="2" fillId="0" borderId="3" xfId="0" applyNumberFormat="1" applyFont="1" applyBorder="1" applyAlignment="1" applyProtection="1">
      <alignment horizontal="center" vertical="center"/>
      <protection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88" fontId="2" fillId="0" borderId="4" xfId="0" applyNumberFormat="1" applyFont="1" applyBorder="1" applyAlignment="1" applyProtection="1">
      <alignment horizontal="center" vertical="center"/>
      <protection/>
    </xf>
    <xf numFmtId="189" fontId="2" fillId="0" borderId="5" xfId="0" applyNumberFormat="1" applyFont="1" applyBorder="1" applyAlignment="1" applyProtection="1">
      <alignment horizontal="center" vertical="center"/>
      <protection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88" fontId="2" fillId="0" borderId="6" xfId="0" applyNumberFormat="1" applyFont="1" applyBorder="1" applyAlignment="1" applyProtection="1">
      <alignment horizontal="center" vertical="center"/>
      <protection/>
    </xf>
    <xf numFmtId="189" fontId="2" fillId="0" borderId="7" xfId="0" applyNumberFormat="1" applyFont="1" applyBorder="1" applyAlignment="1" applyProtection="1">
      <alignment horizontal="center" vertical="center"/>
      <protection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88" fontId="2" fillId="0" borderId="8" xfId="0" applyNumberFormat="1" applyFont="1" applyBorder="1" applyAlignment="1" applyProtection="1">
      <alignment horizontal="center" vertical="center"/>
      <protection/>
    </xf>
    <xf numFmtId="189" fontId="2" fillId="0" borderId="9" xfId="0" applyNumberFormat="1" applyFont="1" applyBorder="1" applyAlignment="1" applyProtection="1">
      <alignment horizontal="center" vertical="center"/>
      <protection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Border="1" applyAlignment="1" applyProtection="1">
      <alignment horizontal="center" vertical="center"/>
      <protection/>
    </xf>
    <xf numFmtId="189" fontId="2" fillId="0" borderId="11" xfId="0" applyNumberFormat="1" applyFont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 locked="0"/>
    </xf>
    <xf numFmtId="188" fontId="2" fillId="0" borderId="12" xfId="0" applyNumberFormat="1" applyFont="1" applyBorder="1" applyAlignment="1" applyProtection="1">
      <alignment horizontal="center" vertical="center"/>
      <protection/>
    </xf>
    <xf numFmtId="189" fontId="2" fillId="0" borderId="12" xfId="0" applyNumberFormat="1" applyFont="1" applyBorder="1" applyAlignment="1" applyProtection="1">
      <alignment horizontal="center" vertical="center"/>
      <protection/>
    </xf>
    <xf numFmtId="190" fontId="2" fillId="0" borderId="13" xfId="0" applyNumberFormat="1" applyFont="1" applyBorder="1" applyAlignment="1" applyProtection="1">
      <alignment horizontal="center" vertical="center"/>
      <protection/>
    </xf>
    <xf numFmtId="191" fontId="2" fillId="0" borderId="14" xfId="0" applyNumberFormat="1" applyFont="1" applyBorder="1" applyAlignment="1" applyProtection="1">
      <alignment horizontal="left" vertical="center"/>
      <protection/>
    </xf>
    <xf numFmtId="189" fontId="2" fillId="0" borderId="15" xfId="0" applyNumberFormat="1" applyFont="1" applyBorder="1" applyAlignment="1" applyProtection="1">
      <alignment horizontal="center" vertical="center"/>
      <protection/>
    </xf>
    <xf numFmtId="189" fontId="2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9" fontId="2" fillId="0" borderId="17" xfId="0" applyNumberFormat="1" applyFont="1" applyBorder="1" applyAlignment="1" applyProtection="1">
      <alignment horizontal="center" vertical="center"/>
      <protection/>
    </xf>
    <xf numFmtId="192" fontId="2" fillId="0" borderId="14" xfId="0" applyNumberFormat="1" applyFont="1" applyBorder="1" applyAlignment="1" applyProtection="1">
      <alignment horizontal="left" vertical="center"/>
      <protection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93" fontId="2" fillId="0" borderId="13" xfId="0" applyNumberFormat="1" applyFont="1" applyBorder="1" applyAlignment="1" applyProtection="1">
      <alignment horizontal="left" vertical="center"/>
      <protection/>
    </xf>
    <xf numFmtId="191" fontId="2" fillId="0" borderId="18" xfId="0" applyNumberFormat="1" applyFont="1" applyBorder="1" applyAlignment="1" applyProtection="1">
      <alignment horizontal="left" vertical="center"/>
      <protection/>
    </xf>
    <xf numFmtId="186" fontId="0" fillId="0" borderId="1" xfId="0" applyNumberFormat="1" applyFont="1" applyBorder="1" applyAlignment="1" applyProtection="1">
      <alignment horizontal="left" vertical="center"/>
      <protection/>
    </xf>
    <xf numFmtId="192" fontId="2" fillId="0" borderId="1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5" fontId="2" fillId="0" borderId="14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89" fontId="0" fillId="0" borderId="15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189" fontId="0" fillId="0" borderId="15" xfId="0" applyNumberFormat="1" applyBorder="1" applyAlignment="1" applyProtection="1">
      <alignment/>
      <protection/>
    </xf>
    <xf numFmtId="0" fontId="0" fillId="0" borderId="26" xfId="0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left" vertic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189" fontId="2" fillId="0" borderId="12" xfId="0" applyNumberFormat="1" applyFont="1" applyBorder="1" applyAlignment="1" applyProtection="1">
      <alignment horizontal="center"/>
      <protection/>
    </xf>
    <xf numFmtId="189" fontId="2" fillId="0" borderId="1" xfId="0" applyNumberFormat="1" applyFont="1" applyBorder="1" applyAlignment="1" applyProtection="1">
      <alignment horizontal="center" vertical="center"/>
      <protection/>
    </xf>
    <xf numFmtId="189" fontId="2" fillId="0" borderId="13" xfId="0" applyNumberFormat="1" applyFont="1" applyBorder="1" applyAlignment="1" applyProtection="1">
      <alignment horizontal="center" vertical="center"/>
      <protection/>
    </xf>
    <xf numFmtId="194" fontId="2" fillId="0" borderId="0" xfId="0" applyNumberFormat="1" applyFont="1" applyBorder="1" applyAlignment="1" applyProtection="1">
      <alignment/>
      <protection/>
    </xf>
    <xf numFmtId="195" fontId="2" fillId="0" borderId="0" xfId="0" applyNumberFormat="1" applyFont="1" applyBorder="1" applyAlignment="1" applyProtection="1">
      <alignment horizontal="right" vertical="center"/>
      <protection/>
    </xf>
    <xf numFmtId="189" fontId="2" fillId="0" borderId="39" xfId="0" applyNumberFormat="1" applyFont="1" applyFill="1" applyBorder="1" applyAlignment="1" applyProtection="1">
      <alignment horizontal="center" vertical="center"/>
      <protection/>
    </xf>
    <xf numFmtId="196" fontId="2" fillId="0" borderId="13" xfId="0" applyNumberFormat="1" applyFont="1" applyBorder="1" applyAlignment="1" applyProtection="1">
      <alignment/>
      <protection/>
    </xf>
    <xf numFmtId="196" fontId="2" fillId="0" borderId="0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98" fontId="2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96" fontId="2" fillId="0" borderId="0" xfId="0" applyNumberFormat="1" applyFont="1" applyFill="1" applyBorder="1" applyAlignment="1" applyProtection="1">
      <alignment/>
      <protection/>
    </xf>
    <xf numFmtId="189" fontId="2" fillId="0" borderId="1" xfId="0" applyNumberFormat="1" applyFont="1" applyFill="1" applyBorder="1" applyAlignment="1" applyProtection="1">
      <alignment horizontal="center" vertical="center"/>
      <protection/>
    </xf>
    <xf numFmtId="189" fontId="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applyProtection="1">
      <alignment/>
      <protection/>
    </xf>
    <xf numFmtId="0" fontId="0" fillId="5" borderId="37" xfId="0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Border="1" applyAlignment="1" applyProtection="1">
      <alignment horizontal="right" vertical="center"/>
      <protection locked="0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4" xfId="0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36" xfId="0" applyFill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2" fillId="2" borderId="42" xfId="0" applyFont="1" applyFill="1" applyBorder="1" applyAlignment="1" applyProtection="1">
      <alignment horizontal="center" vertical="center"/>
      <protection locked="0"/>
    </xf>
    <xf numFmtId="192" fontId="2" fillId="0" borderId="42" xfId="0" applyNumberFormat="1" applyFont="1" applyBorder="1" applyAlignment="1" applyProtection="1">
      <alignment horizontal="left" vertical="center"/>
      <protection/>
    </xf>
    <xf numFmtId="0" fontId="0" fillId="3" borderId="8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5" fillId="0" borderId="42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189" fontId="0" fillId="0" borderId="0" xfId="0" applyNumberForma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7" fontId="2" fillId="0" borderId="13" xfId="0" applyNumberFormat="1" applyFont="1" applyBorder="1" applyAlignment="1" applyProtection="1">
      <alignment/>
      <protection/>
    </xf>
    <xf numFmtId="0" fontId="3" fillId="0" borderId="43" xfId="0" applyFont="1" applyBorder="1" applyAlignment="1" applyProtection="1">
      <alignment horizontal="center" vertical="center"/>
      <protection/>
    </xf>
    <xf numFmtId="189" fontId="2" fillId="0" borderId="38" xfId="0" applyNumberFormat="1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right" vertical="center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98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 horizontal="right"/>
    </xf>
    <xf numFmtId="199" fontId="2" fillId="0" borderId="1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5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 applyProtection="1">
      <alignment/>
      <protection/>
    </xf>
    <xf numFmtId="200" fontId="2" fillId="0" borderId="0" xfId="0" applyNumberFormat="1" applyFont="1" applyBorder="1" applyAlignment="1" applyProtection="1">
      <alignment/>
      <protection/>
    </xf>
    <xf numFmtId="202" fontId="2" fillId="0" borderId="0" xfId="0" applyNumberFormat="1" applyFont="1" applyBorder="1" applyAlignment="1" applyProtection="1">
      <alignment/>
      <protection/>
    </xf>
    <xf numFmtId="202" fontId="2" fillId="0" borderId="1" xfId="0" applyNumberFormat="1" applyFont="1" applyBorder="1" applyAlignment="1" applyProtection="1">
      <alignment horizontal="center" vertical="center"/>
      <protection/>
    </xf>
    <xf numFmtId="201" fontId="2" fillId="0" borderId="0" xfId="0" applyNumberFormat="1" applyFont="1" applyBorder="1" applyAlignment="1" applyProtection="1">
      <alignment horizontal="left" vertical="center"/>
      <protection/>
    </xf>
    <xf numFmtId="203" fontId="2" fillId="0" borderId="1" xfId="0" applyNumberFormat="1" applyFont="1" applyBorder="1" applyAlignment="1" applyProtection="1">
      <alignment horizontal="left" vertical="center"/>
      <protection/>
    </xf>
    <xf numFmtId="204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198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6" borderId="45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6" borderId="46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6" xfId="0" applyBorder="1" applyAlignment="1" applyProtection="1">
      <alignment horizontal="right" vertical="center"/>
      <protection/>
    </xf>
    <xf numFmtId="0" fontId="0" fillId="7" borderId="8" xfId="0" applyFill="1" applyBorder="1" applyAlignment="1">
      <alignment/>
    </xf>
    <xf numFmtId="0" fontId="0" fillId="7" borderId="8" xfId="0" applyFill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locked="0"/>
    </xf>
    <xf numFmtId="2" fontId="0" fillId="0" borderId="0" xfId="0" applyNumberFormat="1" applyAlignment="1">
      <alignment wrapText="1"/>
    </xf>
    <xf numFmtId="0" fontId="0" fillId="0" borderId="13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205" fontId="2" fillId="0" borderId="13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189" fontId="2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/>
    </xf>
    <xf numFmtId="0" fontId="0" fillId="0" borderId="8" xfId="0" applyBorder="1" applyAlignment="1">
      <alignment horizontal="center"/>
    </xf>
    <xf numFmtId="199" fontId="0" fillId="0" borderId="0" xfId="0" applyNumberFormat="1" applyAlignment="1" applyProtection="1">
      <alignment/>
      <protection/>
    </xf>
    <xf numFmtId="2" fontId="0" fillId="3" borderId="8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192" fontId="2" fillId="0" borderId="18" xfId="0" applyNumberFormat="1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right" vertical="center"/>
      <protection/>
    </xf>
    <xf numFmtId="189" fontId="2" fillId="0" borderId="48" xfId="0" applyNumberFormat="1" applyFont="1" applyBorder="1" applyAlignment="1" applyProtection="1">
      <alignment horizontal="center" vertical="center"/>
      <protection/>
    </xf>
    <xf numFmtId="189" fontId="2" fillId="0" borderId="49" xfId="0" applyNumberFormat="1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center"/>
      <protection/>
    </xf>
    <xf numFmtId="202" fontId="2" fillId="0" borderId="0" xfId="0" applyNumberFormat="1" applyFont="1" applyBorder="1" applyAlignment="1" applyProtection="1">
      <alignment horizontal="center" vertical="center"/>
      <protection/>
    </xf>
    <xf numFmtId="203" fontId="2" fillId="0" borderId="0" xfId="0" applyNumberFormat="1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8" xfId="0" applyFont="1" applyFill="1" applyBorder="1" applyAlignment="1">
      <alignment/>
    </xf>
    <xf numFmtId="0" fontId="0" fillId="0" borderId="0" xfId="0" applyAlignment="1" applyProtection="1">
      <alignment horizontal="right" vertical="top"/>
      <protection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89" fontId="0" fillId="0" borderId="16" xfId="0" applyNumberFormat="1" applyBorder="1" applyAlignment="1" applyProtection="1">
      <alignment/>
      <protection/>
    </xf>
    <xf numFmtId="0" fontId="0" fillId="4" borderId="8" xfId="0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209" fontId="0" fillId="6" borderId="0" xfId="0" applyNumberFormat="1" applyFill="1" applyAlignment="1">
      <alignment/>
    </xf>
    <xf numFmtId="0" fontId="0" fillId="0" borderId="39" xfId="0" applyBorder="1" applyAlignment="1" applyProtection="1">
      <alignment/>
      <protection/>
    </xf>
    <xf numFmtId="210" fontId="0" fillId="0" borderId="0" xfId="0" applyNumberForma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210" fontId="0" fillId="0" borderId="13" xfId="0" applyNumberForma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right"/>
      <protection/>
    </xf>
    <xf numFmtId="0" fontId="5" fillId="0" borderId="53" xfId="0" applyFont="1" applyBorder="1" applyAlignment="1" applyProtection="1">
      <alignment horizontal="right"/>
      <protection/>
    </xf>
    <xf numFmtId="212" fontId="0" fillId="0" borderId="0" xfId="0" applyNumberFormat="1" applyBorder="1" applyAlignment="1" applyProtection="1">
      <alignment/>
      <protection/>
    </xf>
    <xf numFmtId="213" fontId="0" fillId="0" borderId="36" xfId="0" applyNumberFormat="1" applyBorder="1" applyAlignment="1" applyProtection="1">
      <alignment/>
      <protection/>
    </xf>
    <xf numFmtId="214" fontId="0" fillId="0" borderId="0" xfId="0" applyNumberFormat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8" borderId="8" xfId="0" applyFill="1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189" fontId="2" fillId="0" borderId="0" xfId="0" applyNumberFormat="1" applyFont="1" applyBorder="1" applyAlignment="1" applyProtection="1">
      <alignment horizontal="center"/>
      <protection/>
    </xf>
    <xf numFmtId="215" fontId="2" fillId="0" borderId="0" xfId="0" applyNumberFormat="1" applyFont="1" applyBorder="1" applyAlignment="1" applyProtection="1">
      <alignment horizontal="left" vertical="center"/>
      <protection/>
    </xf>
    <xf numFmtId="196" fontId="2" fillId="0" borderId="1" xfId="0" applyNumberFormat="1" applyFont="1" applyBorder="1" applyAlignment="1" applyProtection="1">
      <alignment vertical="center"/>
      <protection/>
    </xf>
    <xf numFmtId="197" fontId="2" fillId="0" borderId="1" xfId="0" applyNumberFormat="1" applyFont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4" fontId="2" fillId="0" borderId="1" xfId="0" applyNumberFormat="1" applyFont="1" applyBorder="1" applyAlignment="1" applyProtection="1">
      <alignment vertical="center"/>
      <protection/>
    </xf>
    <xf numFmtId="198" fontId="2" fillId="0" borderId="0" xfId="0" applyNumberFormat="1" applyFont="1" applyBorder="1" applyAlignment="1" applyProtection="1">
      <alignment horizontal="center"/>
      <protection/>
    </xf>
    <xf numFmtId="0" fontId="0" fillId="5" borderId="8" xfId="0" applyFill="1" applyBorder="1" applyAlignment="1">
      <alignment horizontal="center"/>
    </xf>
    <xf numFmtId="2" fontId="0" fillId="9" borderId="8" xfId="0" applyNumberFormat="1" applyFill="1" applyBorder="1" applyAlignment="1">
      <alignment horizontal="center"/>
    </xf>
    <xf numFmtId="0" fontId="0" fillId="9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02" fontId="2" fillId="0" borderId="1" xfId="0" applyNumberFormat="1" applyFont="1" applyBorder="1" applyAlignment="1" applyProtection="1">
      <alignment horizontal="center"/>
      <protection/>
    </xf>
    <xf numFmtId="205" fontId="2" fillId="0" borderId="13" xfId="0" applyNumberFormat="1" applyFont="1" applyBorder="1" applyAlignment="1" applyProtection="1">
      <alignment horizontal="center"/>
      <protection/>
    </xf>
    <xf numFmtId="202" fontId="2" fillId="0" borderId="13" xfId="0" applyNumberFormat="1" applyFont="1" applyBorder="1" applyAlignment="1" applyProtection="1">
      <alignment horizontal="center"/>
      <protection/>
    </xf>
    <xf numFmtId="0" fontId="0" fillId="8" borderId="8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0" xfId="0" applyFill="1" applyAlignment="1">
      <alignment/>
    </xf>
    <xf numFmtId="216" fontId="2" fillId="0" borderId="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right" vertical="center" wrapText="1"/>
      <protection/>
    </xf>
    <xf numFmtId="0" fontId="0" fillId="0" borderId="25" xfId="0" applyBorder="1" applyAlignment="1" applyProtection="1">
      <alignment horizontal="right" vertical="center" wrapText="1"/>
      <protection/>
    </xf>
    <xf numFmtId="0" fontId="0" fillId="0" borderId="46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right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7" fillId="0" borderId="39" xfId="0" applyFont="1" applyBorder="1" applyAlignment="1" applyProtection="1">
      <alignment horizontal="left" vertical="center" textRotation="90" wrapText="1"/>
      <protection/>
    </xf>
    <xf numFmtId="0" fontId="27" fillId="0" borderId="39" xfId="0" applyFont="1" applyBorder="1" applyAlignment="1">
      <alignment horizontal="left" vertical="center" textRotation="90" wrapText="1"/>
    </xf>
    <xf numFmtId="0" fontId="0" fillId="0" borderId="39" xfId="0" applyBorder="1" applyAlignment="1">
      <alignment horizontal="left" vertical="center" textRotation="90" wrapText="1"/>
    </xf>
    <xf numFmtId="0" fontId="0" fillId="0" borderId="39" xfId="0" applyBorder="1" applyAlignment="1">
      <alignment wrapTex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58" xfId="0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58" xfId="0" applyBorder="1" applyAlignment="1">
      <alignment horizontal="center" vertical="center"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/>
    </xf>
    <xf numFmtId="0" fontId="27" fillId="0" borderId="39" xfId="0" applyFont="1" applyBorder="1" applyAlignment="1">
      <alignment horizontal="left" vertical="center" textRotation="90"/>
    </xf>
    <xf numFmtId="0" fontId="0" fillId="0" borderId="39" xfId="0" applyBorder="1" applyAlignment="1">
      <alignment/>
    </xf>
    <xf numFmtId="0" fontId="31" fillId="0" borderId="65" xfId="0" applyFont="1" applyBorder="1" applyAlignment="1" applyProtection="1">
      <alignment horizontal="left" wrapText="1"/>
      <protection/>
    </xf>
    <xf numFmtId="0" fontId="32" fillId="0" borderId="66" xfId="0" applyFont="1" applyBorder="1" applyAlignment="1">
      <alignment horizontal="left" wrapText="1"/>
    </xf>
    <xf numFmtId="0" fontId="32" fillId="0" borderId="67" xfId="0" applyFont="1" applyBorder="1" applyAlignment="1">
      <alignment horizontal="left" wrapText="1"/>
    </xf>
    <xf numFmtId="0" fontId="30" fillId="0" borderId="68" xfId="0" applyFont="1" applyBorder="1" applyAlignment="1" applyProtection="1">
      <alignment horizontal="left" wrapText="1"/>
      <protection/>
    </xf>
    <xf numFmtId="0" fontId="29" fillId="0" borderId="69" xfId="0" applyFont="1" applyBorder="1" applyAlignment="1">
      <alignment horizontal="left" wrapText="1"/>
    </xf>
    <xf numFmtId="0" fontId="29" fillId="0" borderId="70" xfId="0" applyFont="1" applyBorder="1" applyAlignment="1">
      <alignment horizontal="left" wrapText="1"/>
    </xf>
    <xf numFmtId="0" fontId="31" fillId="0" borderId="71" xfId="0" applyFont="1" applyBorder="1" applyAlignment="1" applyProtection="1">
      <alignment horizontal="left" wrapText="1"/>
      <protection/>
    </xf>
    <xf numFmtId="0" fontId="32" fillId="0" borderId="0" xfId="0" applyFont="1" applyBorder="1" applyAlignment="1">
      <alignment horizontal="left" wrapText="1"/>
    </xf>
    <xf numFmtId="0" fontId="32" fillId="0" borderId="72" xfId="0" applyFont="1" applyBorder="1" applyAlignment="1">
      <alignment horizontal="left" wrapText="1"/>
    </xf>
    <xf numFmtId="0" fontId="3" fillId="0" borderId="58" xfId="0" applyFont="1" applyFill="1" applyBorder="1" applyAlignment="1" applyProtection="1">
      <alignment horizontal="center" vertical="center"/>
      <protection/>
    </xf>
  </cellXfs>
  <cellStyles count="12">
    <cellStyle name="Normal" xfId="0"/>
    <cellStyle name="Followed Hyperlink" xfId="15"/>
    <cellStyle name="Comma [0]_exergy.xls Chart 10" xfId="16"/>
    <cellStyle name="Comma_exergy.xls Chart 10" xfId="17"/>
    <cellStyle name="Currency [0]_exergy.xls Chart 10" xfId="18"/>
    <cellStyle name="Currency_exergy.xls Chart 10" xfId="19"/>
    <cellStyle name="Comma" xfId="20"/>
    <cellStyle name="Comma [0]" xfId="21"/>
    <cellStyle name="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15"/>
          <c:w val="0.9805"/>
          <c:h val="0.9525"/>
        </c:manualLayout>
      </c:layout>
      <c:scatterChart>
        <c:scatterStyle val="lineMarker"/>
        <c:varyColors val="0"/>
        <c:ser>
          <c:idx val="5"/>
          <c:order val="0"/>
          <c:tx>
            <c:strRef>
              <c:f>'General Values'!$F$9</c:f>
              <c:strCache>
                <c:ptCount val="1"/>
                <c:pt idx="0">
                  <c:v>system energy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Values'!$C$10:$C$17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'General Values'!$F$10:$F$17</c:f>
              <c:numCache>
                <c:ptCount val="8"/>
                <c:pt idx="0">
                  <c:v>51007.82659719567</c:v>
                </c:pt>
                <c:pt idx="1">
                  <c:v>21284.477098261817</c:v>
                </c:pt>
                <c:pt idx="2">
                  <c:v>13236.764855645133</c:v>
                </c:pt>
                <c:pt idx="3">
                  <c:v>13236.764855645133</c:v>
                </c:pt>
                <c:pt idx="4">
                  <c:v>10982.031700715454</c:v>
                </c:pt>
                <c:pt idx="5">
                  <c:v>10870.05911200412</c:v>
                </c:pt>
                <c:pt idx="6">
                  <c:v>10870.05911200412</c:v>
                </c:pt>
                <c:pt idx="7">
                  <c:v>10870.05911200412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'General Values'!$D$9</c:f>
              <c:strCache>
                <c:ptCount val="1"/>
                <c:pt idx="0">
                  <c:v>heat energy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Values'!$C$10:$C$17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'General Values'!$D$10:$D$17</c:f>
              <c:numCache>
                <c:ptCount val="8"/>
                <c:pt idx="0">
                  <c:v>25691.20939517957</c:v>
                </c:pt>
                <c:pt idx="1">
                  <c:v>12845.604697589784</c:v>
                </c:pt>
                <c:pt idx="2">
                  <c:v>11432.588180854907</c:v>
                </c:pt>
                <c:pt idx="3">
                  <c:v>11432.588180854907</c:v>
                </c:pt>
                <c:pt idx="4">
                  <c:v>10979.857688893053</c:v>
                </c:pt>
                <c:pt idx="5">
                  <c:v>10870.05911200412</c:v>
                </c:pt>
                <c:pt idx="6">
                  <c:v>10870.05911200412</c:v>
                </c:pt>
                <c:pt idx="7">
                  <c:v>10870.05911200412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'General Values'!$E$9</c:f>
              <c:strCache>
                <c:ptCount val="1"/>
                <c:pt idx="0">
                  <c:v>electrical energy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Values'!$C$10:$C$17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'General Values'!$E$10:$E$17</c:f>
              <c:numCache>
                <c:ptCount val="8"/>
                <c:pt idx="0">
                  <c:v>25316.6172020161</c:v>
                </c:pt>
                <c:pt idx="1">
                  <c:v>8438.872400672033</c:v>
                </c:pt>
                <c:pt idx="2">
                  <c:v>1804.1766747902254</c:v>
                </c:pt>
                <c:pt idx="3">
                  <c:v>1804.1766747902254</c:v>
                </c:pt>
                <c:pt idx="4">
                  <c:v>2.1740118224008245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'General Values'!$H$9</c:f>
              <c:strCache>
                <c:ptCount val="1"/>
                <c:pt idx="0">
                  <c:v>incl. free /rene. ener.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'General Values'!$H$10:$H$12</c:f>
              <c:numCache>
                <c:ptCount val="3"/>
                <c:pt idx="0">
                  <c:v>51007.82659719567</c:v>
                </c:pt>
                <c:pt idx="1">
                  <c:v>21284.477098261817</c:v>
                </c:pt>
                <c:pt idx="2">
                  <c:v>13236.764855645133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'General Values'!$I$9</c:f>
              <c:strCache>
                <c:ptCount val="1"/>
                <c:pt idx="0">
                  <c:v>incl. internal &amp; sloar gains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Values'!$C$15:$C$17</c:f>
              <c:numCach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xVal>
          <c:yVal>
            <c:numRef>
              <c:f>'General Values'!$I$15:$I$17</c:f>
              <c:numCache>
                <c:ptCount val="3"/>
                <c:pt idx="0">
                  <c:v>10870.05911200412</c:v>
                </c:pt>
                <c:pt idx="1">
                  <c:v>22554.845039999997</c:v>
                </c:pt>
                <c:pt idx="2">
                  <c:v>22554.845039999997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'General Values'!$J$9</c:f>
              <c:strCache>
                <c:ptCount val="1"/>
                <c:pt idx="0">
                  <c:v>system exergy 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Values'!$C$10:$C$17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'General Values'!$J$10:$J$17</c:f>
              <c:numCache>
                <c:ptCount val="8"/>
                <c:pt idx="0">
                  <c:v>30711.771175003807</c:v>
                </c:pt>
                <c:pt idx="1">
                  <c:v>9332.158386493855</c:v>
                </c:pt>
                <c:pt idx="2">
                  <c:v>3601.2985842982716</c:v>
                </c:pt>
                <c:pt idx="3">
                  <c:v>3601.2985842982716</c:v>
                </c:pt>
                <c:pt idx="4">
                  <c:v>1751.1657621505572</c:v>
                </c:pt>
                <c:pt idx="5">
                  <c:v>828.665672896164</c:v>
                </c:pt>
                <c:pt idx="6">
                  <c:v>776.0368565428746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'General Values'!$K$9</c:f>
              <c:strCache>
                <c:ptCount val="1"/>
                <c:pt idx="0">
                  <c:v>exergy incl. gains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Values'!$C$15:$C$17</c:f>
              <c:numCach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xVal>
          <c:yVal>
            <c:numRef>
              <c:f>'General Values'!$K$15:$K$17</c:f>
              <c:numCache>
                <c:ptCount val="3"/>
                <c:pt idx="0">
                  <c:v>828.665672896164</c:v>
                </c:pt>
                <c:pt idx="1">
                  <c:v>1610.2388095869455</c:v>
                </c:pt>
                <c:pt idx="2">
                  <c:v>0</c:v>
                </c:pt>
              </c:numCache>
            </c:numRef>
          </c:yVal>
          <c:smooth val="0"/>
        </c:ser>
        <c:axId val="28699598"/>
        <c:axId val="56969791"/>
      </c:scatterChart>
      <c:valAx>
        <c:axId val="28699598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>
            <c:manualLayout>
              <c:xMode val="factor"/>
              <c:yMode val="factor"/>
              <c:x val="0.02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69791"/>
        <c:crosses val="autoZero"/>
        <c:crossBetween val="midCat"/>
        <c:dispUnits/>
        <c:majorUnit val="1"/>
      </c:valAx>
      <c:valAx>
        <c:axId val="5696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 / Exergy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99598"/>
        <c:crosses val="autoZero"/>
        <c:crossBetween val="midCat"/>
        <c:dispUnits/>
      </c:valAx>
      <c:spPr>
        <a:solidFill>
          <a:srgbClr val="FFFF99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48025"/>
          <c:y val="0.14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5575"/>
          <c:w val="0.9955"/>
          <c:h val="0.844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'General Values'!$L$9</c:f>
              <c:strCache>
                <c:ptCount val="1"/>
                <c:pt idx="0">
                  <c:v>rel exergy loss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Values'!$N$10:$N$16</c:f>
              <c:strCache>
                <c:ptCount val="7"/>
                <c:pt idx="0">
                  <c:v>Primary energy transform</c:v>
                </c:pt>
                <c:pt idx="1">
                  <c:v>Generation</c:v>
                </c:pt>
                <c:pt idx="2">
                  <c:v>Storage</c:v>
                </c:pt>
                <c:pt idx="3">
                  <c:v>Distribution</c:v>
                </c:pt>
                <c:pt idx="4">
                  <c:v>Emission</c:v>
                </c:pt>
                <c:pt idx="5">
                  <c:v>Room air</c:v>
                </c:pt>
                <c:pt idx="6">
                  <c:v>Envelope</c:v>
                </c:pt>
              </c:strCache>
            </c:strRef>
          </c:cat>
          <c:val>
            <c:numRef>
              <c:f>'General Values'!$L$10:$L$16</c:f>
              <c:numCache>
                <c:ptCount val="7"/>
                <c:pt idx="0">
                  <c:v>21379.612788509952</c:v>
                </c:pt>
                <c:pt idx="1">
                  <c:v>5730.859802195583</c:v>
                </c:pt>
                <c:pt idx="2">
                  <c:v>0</c:v>
                </c:pt>
                <c:pt idx="3">
                  <c:v>1850.1328221477145</c:v>
                </c:pt>
                <c:pt idx="4">
                  <c:v>922.5000892543932</c:v>
                </c:pt>
                <c:pt idx="5">
                  <c:v>52.62881635328938</c:v>
                </c:pt>
                <c:pt idx="6">
                  <c:v>776.0368565428746</c:v>
                </c:pt>
              </c:numCache>
            </c:numRef>
          </c:val>
        </c:ser>
        <c:ser>
          <c:idx val="0"/>
          <c:order val="1"/>
          <c:tx>
            <c:strRef>
              <c:f>'General Values'!$M$9</c:f>
              <c:strCache>
                <c:ptCount val="1"/>
                <c:pt idx="0">
                  <c:v>rel energy loss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Values'!$N$10:$N$16</c:f>
              <c:strCache>
                <c:ptCount val="7"/>
                <c:pt idx="0">
                  <c:v>Primary energy transform</c:v>
                </c:pt>
                <c:pt idx="1">
                  <c:v>Generation</c:v>
                </c:pt>
                <c:pt idx="2">
                  <c:v>Storage</c:v>
                </c:pt>
                <c:pt idx="3">
                  <c:v>Distribution</c:v>
                </c:pt>
                <c:pt idx="4">
                  <c:v>Emission</c:v>
                </c:pt>
                <c:pt idx="5">
                  <c:v>Room air</c:v>
                </c:pt>
                <c:pt idx="6">
                  <c:v>Envelope</c:v>
                </c:pt>
              </c:strCache>
            </c:strRef>
          </c:cat>
          <c:val>
            <c:numRef>
              <c:f>'General Values'!$M$10:$M$16</c:f>
              <c:numCache>
                <c:ptCount val="7"/>
                <c:pt idx="0">
                  <c:v>29723.349498933854</c:v>
                </c:pt>
                <c:pt idx="1">
                  <c:v>8047.712242616684</c:v>
                </c:pt>
                <c:pt idx="2">
                  <c:v>0</c:v>
                </c:pt>
                <c:pt idx="3">
                  <c:v>2254.7331549296796</c:v>
                </c:pt>
                <c:pt idx="4">
                  <c:v>111.97258871133272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966072"/>
        <c:axId val="51150329"/>
      </c:barChart>
      <c:catAx>
        <c:axId val="4296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>
            <c:manualLayout>
              <c:xMode val="factor"/>
              <c:yMode val="factor"/>
              <c:x val="0.02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150329"/>
        <c:crosses val="autoZero"/>
        <c:auto val="1"/>
        <c:lblOffset val="100"/>
        <c:noMultiLvlLbl val="0"/>
      </c:catAx>
      <c:valAx>
        <c:axId val="5115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Energy/Exergy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966072"/>
        <c:crossesAt val="1"/>
        <c:crossBetween val="between"/>
        <c:dispUnits/>
      </c:valAx>
      <c:spPr>
        <a:solidFill>
          <a:srgbClr val="FFFF99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21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475"/>
          <c:w val="0.9865"/>
          <c:h val="0.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'General Values'!$B$25</c:f>
              <c:strCache>
                <c:ptCount val="1"/>
                <c:pt idx="0">
                  <c:v>solar (windows)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Values'!$C$25:$D$25</c:f>
              <c:numCache>
                <c:ptCount val="2"/>
                <c:pt idx="0">
                  <c:v>3280.0859279999995</c:v>
                </c:pt>
              </c:numCache>
            </c:numRef>
          </c:val>
        </c:ser>
        <c:ser>
          <c:idx val="1"/>
          <c:order val="1"/>
          <c:tx>
            <c:strRef>
              <c:f>'General Values'!$B$26</c:f>
              <c:strCache>
                <c:ptCount val="1"/>
                <c:pt idx="0">
                  <c:v>internal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Values'!$C$26:$D$26</c:f>
              <c:numCache>
                <c:ptCount val="2"/>
                <c:pt idx="0">
                  <c:v>8404.699999995875</c:v>
                </c:pt>
              </c:numCache>
            </c:numRef>
          </c:val>
        </c:ser>
        <c:ser>
          <c:idx val="2"/>
          <c:order val="2"/>
          <c:tx>
            <c:strRef>
              <c:f>'General Values'!$B$27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Values'!$C$27:$D$27</c:f>
              <c:numCache>
                <c:ptCount val="2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'General Values'!$B$28</c:f>
              <c:strCache>
                <c:ptCount val="1"/>
                <c:pt idx="0">
                  <c:v>primary energy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Values'!$C$28:$D$28</c:f>
              <c:numCache>
                <c:ptCount val="2"/>
                <c:pt idx="0">
                  <c:v>51007.82659719567</c:v>
                </c:pt>
              </c:numCache>
            </c:numRef>
          </c:val>
        </c:ser>
        <c:ser>
          <c:idx val="4"/>
          <c:order val="4"/>
          <c:tx>
            <c:strRef>
              <c:f>'General Values'!$B$29</c:f>
              <c:strCache>
                <c:ptCount val="1"/>
                <c:pt idx="0">
                  <c:v>transmision window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Values'!$C$29:$D$29</c:f>
              <c:numCache>
                <c:ptCount val="2"/>
                <c:pt idx="1">
                  <c:v>11479.734000000002</c:v>
                </c:pt>
              </c:numCache>
            </c:numRef>
          </c:val>
        </c:ser>
        <c:ser>
          <c:idx val="5"/>
          <c:order val="5"/>
          <c:tx>
            <c:strRef>
              <c:f>'General Values'!$B$30</c:f>
              <c:strCache>
                <c:ptCount val="1"/>
                <c:pt idx="0">
                  <c:v>transmission roof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Values'!$C$30:$D$30</c:f>
              <c:numCache>
                <c:ptCount val="2"/>
                <c:pt idx="1">
                  <c:v>1530.4947000000002</c:v>
                </c:pt>
              </c:numCache>
            </c:numRef>
          </c:val>
        </c:ser>
        <c:ser>
          <c:idx val="6"/>
          <c:order val="6"/>
          <c:tx>
            <c:strRef>
              <c:f>'General Values'!$B$31</c:f>
              <c:strCache>
                <c:ptCount val="1"/>
                <c:pt idx="0">
                  <c:v>transmission ground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Values'!$C$31:$D$31</c:f>
              <c:numCache>
                <c:ptCount val="2"/>
                <c:pt idx="1">
                  <c:v>1544.8633199999997</c:v>
                </c:pt>
              </c:numCache>
            </c:numRef>
          </c:val>
        </c:ser>
        <c:ser>
          <c:idx val="7"/>
          <c:order val="7"/>
          <c:tx>
            <c:strRef>
              <c:f>'General Values'!$B$32</c:f>
              <c:strCache>
                <c:ptCount val="1"/>
                <c:pt idx="0">
                  <c:v>transmission walls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Values'!$C$32:$D$32</c:f>
              <c:numCache>
                <c:ptCount val="2"/>
                <c:pt idx="1">
                  <c:v>2189.67315</c:v>
                </c:pt>
              </c:numCache>
            </c:numRef>
          </c:val>
        </c:ser>
        <c:ser>
          <c:idx val="8"/>
          <c:order val="8"/>
          <c:tx>
            <c:strRef>
              <c:f>'General Values'!$B$33</c:f>
              <c:strCache>
                <c:ptCount val="1"/>
                <c:pt idx="0">
                  <c:v>ventilation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Values'!$C$33:$D$33</c:f>
              <c:numCache>
                <c:ptCount val="2"/>
                <c:pt idx="1">
                  <c:v>5810.079869999998</c:v>
                </c:pt>
              </c:numCache>
            </c:numRef>
          </c:val>
        </c:ser>
        <c:ser>
          <c:idx val="9"/>
          <c:order val="9"/>
          <c:tx>
            <c:strRef>
              <c:f>'General Values'!$B$34</c:f>
              <c:strCache>
                <c:ptCount val="1"/>
                <c:pt idx="0">
                  <c:v>system heat losses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Values'!$C$34:$D$34</c:f>
              <c:numCache>
                <c:ptCount val="2"/>
                <c:pt idx="1">
                  <c:v>562.5290688507862</c:v>
                </c:pt>
              </c:numCache>
            </c:numRef>
          </c:val>
        </c:ser>
        <c:ser>
          <c:idx val="10"/>
          <c:order val="10"/>
          <c:tx>
            <c:strRef>
              <c:f>'General Values'!$B$35</c:f>
              <c:strCache>
                <c:ptCount val="1"/>
                <c:pt idx="0">
                  <c:v>inefficeint generation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Values'!$C$35:$D$35</c:f>
              <c:numCache>
                <c:ptCount val="2"/>
                <c:pt idx="1">
                  <c:v>1413.0165167348769</c:v>
                </c:pt>
              </c:numCache>
            </c:numRef>
          </c:val>
        </c:ser>
        <c:ser>
          <c:idx val="11"/>
          <c:order val="11"/>
          <c:tx>
            <c:strRef>
              <c:f>'General Values'!$B$36</c:f>
              <c:strCache>
                <c:ptCount val="1"/>
                <c:pt idx="0">
                  <c:v>Electrical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Values'!$C$36:$D$36</c:f>
              <c:numCache>
                <c:ptCount val="2"/>
                <c:pt idx="1">
                  <c:v>1804.291000672034</c:v>
                </c:pt>
              </c:numCache>
            </c:numRef>
          </c:val>
        </c:ser>
        <c:ser>
          <c:idx val="12"/>
          <c:order val="12"/>
          <c:tx>
            <c:strRef>
              <c:f>'General Values'!$B$37</c:f>
              <c:strCache>
                <c:ptCount val="1"/>
                <c:pt idx="0">
                  <c:v>lighting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Values'!$C$37:$D$37</c:f>
              <c:numCache>
                <c:ptCount val="2"/>
                <c:pt idx="1">
                  <c:v>4404.7</c:v>
                </c:pt>
              </c:numCache>
            </c:numRef>
          </c:val>
        </c:ser>
        <c:ser>
          <c:idx val="13"/>
          <c:order val="13"/>
          <c:tx>
            <c:strRef>
              <c:f>'General Values'!$B$38</c:f>
              <c:strCache>
                <c:ptCount val="1"/>
                <c:pt idx="0">
                  <c:v>ventilation elec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Values'!$C$38:$D$38</c:f>
              <c:numCache>
                <c:ptCount val="2"/>
                <c:pt idx="1">
                  <c:v>2229.8814</c:v>
                </c:pt>
              </c:numCache>
            </c:numRef>
          </c:val>
        </c:ser>
        <c:ser>
          <c:idx val="14"/>
          <c:order val="14"/>
          <c:tx>
            <c:strRef>
              <c:f>'General Values'!$B$39</c:f>
              <c:strCache>
                <c:ptCount val="1"/>
                <c:pt idx="0">
                  <c:v>DHW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Values'!$C$39:$D$39</c:f>
              <c:numCache>
                <c:ptCount val="2"/>
                <c:pt idx="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'General Values'!$B$40</c:f>
              <c:strCache>
                <c:ptCount val="1"/>
                <c:pt idx="0">
                  <c:v>prim transform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Values'!$C$40:$D$40</c:f>
              <c:numCache>
                <c:ptCount val="2"/>
                <c:pt idx="1">
                  <c:v>29723.34949893385</c:v>
                </c:pt>
              </c:numCache>
            </c:numRef>
          </c:val>
        </c:ser>
        <c:overlap val="100"/>
        <c:axId val="57699778"/>
        <c:axId val="49535955"/>
      </c:bar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9535955"/>
        <c:crosses val="autoZero"/>
        <c:auto val="1"/>
        <c:lblOffset val="100"/>
        <c:noMultiLvlLbl val="0"/>
      </c:catAx>
      <c:valAx>
        <c:axId val="49535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Energy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9977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25"/>
          <c:y val="0.0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0475"/>
          <c:w val="0.97725"/>
          <c:h val="0.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'General Values'!$G$25</c:f>
              <c:strCache>
                <c:ptCount val="1"/>
                <c:pt idx="0">
                  <c:v>solar (windows)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Values'!$H$25:$J$25</c:f>
              <c:numCache>
                <c:ptCount val="3"/>
                <c:pt idx="0">
                  <c:v>2952.0773351999997</c:v>
                </c:pt>
              </c:numCache>
            </c:numRef>
          </c:val>
        </c:ser>
        <c:ser>
          <c:idx val="1"/>
          <c:order val="1"/>
          <c:tx>
            <c:strRef>
              <c:f>'General Values'!$G$26</c:f>
              <c:strCache>
                <c:ptCount val="1"/>
                <c:pt idx="0">
                  <c:v>internal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Values'!$H$26:$J$26</c:f>
              <c:numCache>
                <c:ptCount val="3"/>
                <c:pt idx="0">
                  <c:v>119.2971142995325</c:v>
                </c:pt>
              </c:numCache>
            </c:numRef>
          </c:val>
        </c:ser>
        <c:ser>
          <c:idx val="2"/>
          <c:order val="2"/>
          <c:tx>
            <c:strRef>
              <c:f>'General Values'!$G$27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Values'!$H$27:$J$27</c:f>
              <c:numCache>
                <c:ptCount val="3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'General Values'!$G$28</c:f>
              <c:strCache>
                <c:ptCount val="1"/>
                <c:pt idx="0">
                  <c:v>primary exergy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Values'!$H$28:$J$28</c:f>
              <c:numCache>
                <c:ptCount val="3"/>
                <c:pt idx="0">
                  <c:v>30711.771175003807</c:v>
                </c:pt>
              </c:numCache>
            </c:numRef>
          </c:val>
        </c:ser>
        <c:ser>
          <c:idx val="4"/>
          <c:order val="4"/>
          <c:tx>
            <c:strRef>
              <c:f>'General Values'!$G$29</c:f>
              <c:strCache>
                <c:ptCount val="1"/>
                <c:pt idx="0">
                  <c:v>Envelope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Values'!$H$29:$J$29</c:f>
              <c:numCache>
                <c:ptCount val="3"/>
                <c:pt idx="2">
                  <c:v>776.0368565428746</c:v>
                </c:pt>
              </c:numCache>
            </c:numRef>
          </c:val>
        </c:ser>
        <c:ser>
          <c:idx val="5"/>
          <c:order val="5"/>
          <c:tx>
            <c:strRef>
              <c:f>'General Values'!$G$30</c:f>
              <c:strCache>
                <c:ptCount val="1"/>
                <c:pt idx="0">
                  <c:v>Room Air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Values'!$H$30:$J$30</c:f>
              <c:numCache>
                <c:ptCount val="3"/>
                <c:pt idx="2">
                  <c:v>52.62881635328938</c:v>
                </c:pt>
              </c:numCache>
            </c:numRef>
          </c:val>
        </c:ser>
        <c:ser>
          <c:idx val="6"/>
          <c:order val="6"/>
          <c:tx>
            <c:strRef>
              <c:f>'General Values'!$G$31</c:f>
              <c:strCache>
                <c:ptCount val="1"/>
                <c:pt idx="0">
                  <c:v>Emission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Values'!$H$31:$J$31</c:f>
              <c:numCache>
                <c:ptCount val="3"/>
                <c:pt idx="2">
                  <c:v>922.5000892543932</c:v>
                </c:pt>
              </c:numCache>
            </c:numRef>
          </c:val>
        </c:ser>
        <c:ser>
          <c:idx val="7"/>
          <c:order val="7"/>
          <c:tx>
            <c:strRef>
              <c:f>'General Values'!$G$32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Values'!$H$32:$J$32</c:f>
              <c:numCache>
                <c:ptCount val="3"/>
                <c:pt idx="2">
                  <c:v>1850.1328221477145</c:v>
                </c:pt>
              </c:numCache>
            </c:numRef>
          </c:val>
        </c:ser>
        <c:ser>
          <c:idx val="8"/>
          <c:order val="8"/>
          <c:tx>
            <c:strRef>
              <c:f>'General Values'!$G$33</c:f>
              <c:strCache>
                <c:ptCount val="1"/>
                <c:pt idx="0">
                  <c:v>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Values'!$H$33:$J$33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'General Values'!$G$34</c:f>
              <c:strCache>
                <c:ptCount val="1"/>
                <c:pt idx="0">
                  <c:v>Generation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Values'!$H$34:$J$34</c:f>
              <c:numCache>
                <c:ptCount val="3"/>
                <c:pt idx="2">
                  <c:v>5730.859802195583</c:v>
                </c:pt>
              </c:numCache>
            </c:numRef>
          </c:val>
        </c:ser>
        <c:ser>
          <c:idx val="10"/>
          <c:order val="10"/>
          <c:tx>
            <c:strRef>
              <c:f>'General Values'!$G$35</c:f>
              <c:strCache>
                <c:ptCount val="1"/>
                <c:pt idx="0">
                  <c:v>Primary exergy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Values'!$H$35:$J$35</c:f>
              <c:numCache>
                <c:ptCount val="3"/>
                <c:pt idx="2">
                  <c:v>21379.612788509952</c:v>
                </c:pt>
              </c:numCache>
            </c:numRef>
          </c:val>
        </c:ser>
        <c:overlap val="100"/>
        <c:axId val="43170412"/>
        <c:axId val="52989389"/>
      </c:bar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2989389"/>
        <c:crosses val="autoZero"/>
        <c:auto val="1"/>
        <c:lblOffset val="100"/>
        <c:noMultiLvlLbl val="0"/>
      </c:catAx>
      <c:valAx>
        <c:axId val="52989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Exergy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17041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"/>
          <c:y val="0.06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0.08375</cdr:y>
    </cdr:from>
    <cdr:to>
      <cdr:x>0.355</cdr:x>
      <cdr:y>0.183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352425"/>
          <a:ext cx="9334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Generation</a:t>
          </a:r>
        </a:p>
      </cdr:txBody>
    </cdr:sp>
  </cdr:relSizeAnchor>
  <cdr:relSizeAnchor xmlns:cdr="http://schemas.openxmlformats.org/drawingml/2006/chartDrawing">
    <cdr:from>
      <cdr:x>0.61825</cdr:x>
      <cdr:y>0.08375</cdr:y>
    </cdr:from>
    <cdr:to>
      <cdr:x>0.731</cdr:x>
      <cdr:y>0.16725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524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</a:t>
          </a:r>
        </a:p>
      </cdr:txBody>
    </cdr:sp>
  </cdr:relSizeAnchor>
  <cdr:relSizeAnchor xmlns:cdr="http://schemas.openxmlformats.org/drawingml/2006/chartDrawing">
    <cdr:from>
      <cdr:x>0.73775</cdr:x>
      <cdr:y>0.08375</cdr:y>
    </cdr:from>
    <cdr:to>
      <cdr:x>0.86475</cdr:x>
      <cdr:y>0.16725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352425"/>
          <a:ext cx="933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Room Air</a:t>
          </a:r>
        </a:p>
      </cdr:txBody>
    </cdr:sp>
  </cdr:relSizeAnchor>
  <cdr:relSizeAnchor xmlns:cdr="http://schemas.openxmlformats.org/drawingml/2006/chartDrawing">
    <cdr:from>
      <cdr:x>0.87325</cdr:x>
      <cdr:y>0.08375</cdr:y>
    </cdr:from>
    <cdr:to>
      <cdr:x>0.99375</cdr:x>
      <cdr:y>0.183</cdr:y>
    </cdr:to>
    <cdr:sp>
      <cdr:nvSpPr>
        <cdr:cNvPr id="4" name="TextBox 4"/>
        <cdr:cNvSpPr txBox="1">
          <a:spLocks noChangeArrowheads="1"/>
        </cdr:cNvSpPr>
      </cdr:nvSpPr>
      <cdr:spPr>
        <a:xfrm>
          <a:off x="6410325" y="352425"/>
          <a:ext cx="885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Envelope</a:t>
          </a:r>
        </a:p>
      </cdr:txBody>
    </cdr:sp>
  </cdr:relSizeAnchor>
  <cdr:relSizeAnchor xmlns:cdr="http://schemas.openxmlformats.org/drawingml/2006/chartDrawing">
    <cdr:from>
      <cdr:x>0.4685</cdr:x>
      <cdr:y>0.08375</cdr:y>
    </cdr:from>
    <cdr:to>
      <cdr:x>0.62025</cdr:x>
      <cdr:y>0.183</cdr:y>
    </cdr:to>
    <cdr:sp>
      <cdr:nvSpPr>
        <cdr:cNvPr id="5" name="TextBox 5"/>
        <cdr:cNvSpPr txBox="1">
          <a:spLocks noChangeArrowheads="1"/>
        </cdr:cNvSpPr>
      </cdr:nvSpPr>
      <cdr:spPr>
        <a:xfrm>
          <a:off x="3438525" y="352425"/>
          <a:ext cx="1114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Distribution</a:t>
          </a:r>
        </a:p>
      </cdr:txBody>
    </cdr:sp>
  </cdr:relSizeAnchor>
  <cdr:relSizeAnchor xmlns:cdr="http://schemas.openxmlformats.org/drawingml/2006/chartDrawing">
    <cdr:from>
      <cdr:x>0.3625</cdr:x>
      <cdr:y>0.08375</cdr:y>
    </cdr:from>
    <cdr:to>
      <cdr:x>0.47675</cdr:x>
      <cdr:y>0.16725</cdr:y>
    </cdr:to>
    <cdr:sp>
      <cdr:nvSpPr>
        <cdr:cNvPr id="6" name="TextBox 6"/>
        <cdr:cNvSpPr txBox="1">
          <a:spLocks noChangeArrowheads="1"/>
        </cdr:cNvSpPr>
      </cdr:nvSpPr>
      <cdr:spPr>
        <a:xfrm>
          <a:off x="2657475" y="352425"/>
          <a:ext cx="838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Storage</a:t>
          </a:r>
        </a:p>
      </cdr:txBody>
    </cdr:sp>
  </cdr:relSizeAnchor>
  <cdr:relSizeAnchor xmlns:cdr="http://schemas.openxmlformats.org/drawingml/2006/chartDrawing">
    <cdr:from>
      <cdr:x>0.09825</cdr:x>
      <cdr:y>0.08375</cdr:y>
    </cdr:from>
    <cdr:to>
      <cdr:x>0.22025</cdr:x>
      <cdr:y>0.226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" y="352425"/>
          <a:ext cx="8953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Prim. Energy transform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159</xdr:row>
      <xdr:rowOff>38100</xdr:rowOff>
    </xdr:from>
    <xdr:to>
      <xdr:col>9</xdr:col>
      <xdr:colOff>28575</xdr:colOff>
      <xdr:row>185</xdr:row>
      <xdr:rowOff>47625</xdr:rowOff>
    </xdr:to>
    <xdr:graphicFrame>
      <xdr:nvGraphicFramePr>
        <xdr:cNvPr id="1" name="Chart 17"/>
        <xdr:cNvGraphicFramePr/>
      </xdr:nvGraphicFramePr>
      <xdr:xfrm>
        <a:off x="714375" y="33070800"/>
        <a:ext cx="73437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99</xdr:row>
      <xdr:rowOff>190500</xdr:rowOff>
    </xdr:from>
    <xdr:to>
      <xdr:col>9</xdr:col>
      <xdr:colOff>180975</xdr:colOff>
      <xdr:row>103</xdr:row>
      <xdr:rowOff>180975</xdr:rowOff>
    </xdr:to>
    <xdr:sp>
      <xdr:nvSpPr>
        <xdr:cNvPr id="2" name="AutoShape 22"/>
        <xdr:cNvSpPr>
          <a:spLocks/>
        </xdr:cNvSpPr>
      </xdr:nvSpPr>
      <xdr:spPr>
        <a:xfrm>
          <a:off x="8039100" y="21183600"/>
          <a:ext cx="171450" cy="78105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104</xdr:row>
      <xdr:rowOff>9525</xdr:rowOff>
    </xdr:from>
    <xdr:to>
      <xdr:col>9</xdr:col>
      <xdr:colOff>171450</xdr:colOff>
      <xdr:row>109</xdr:row>
      <xdr:rowOff>180975</xdr:rowOff>
    </xdr:to>
    <xdr:sp>
      <xdr:nvSpPr>
        <xdr:cNvPr id="3" name="AutoShape 23"/>
        <xdr:cNvSpPr>
          <a:spLocks/>
        </xdr:cNvSpPr>
      </xdr:nvSpPr>
      <xdr:spPr>
        <a:xfrm>
          <a:off x="7991475" y="21993225"/>
          <a:ext cx="209550" cy="116205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110</xdr:row>
      <xdr:rowOff>9525</xdr:rowOff>
    </xdr:from>
    <xdr:to>
      <xdr:col>9</xdr:col>
      <xdr:colOff>180975</xdr:colOff>
      <xdr:row>115</xdr:row>
      <xdr:rowOff>180975</xdr:rowOff>
    </xdr:to>
    <xdr:sp>
      <xdr:nvSpPr>
        <xdr:cNvPr id="4" name="AutoShape 24"/>
        <xdr:cNvSpPr>
          <a:spLocks/>
        </xdr:cNvSpPr>
      </xdr:nvSpPr>
      <xdr:spPr>
        <a:xfrm>
          <a:off x="8039100" y="23183850"/>
          <a:ext cx="171450" cy="117157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190500</xdr:rowOff>
    </xdr:from>
    <xdr:to>
      <xdr:col>9</xdr:col>
      <xdr:colOff>180975</xdr:colOff>
      <xdr:row>121</xdr:row>
      <xdr:rowOff>180975</xdr:rowOff>
    </xdr:to>
    <xdr:sp>
      <xdr:nvSpPr>
        <xdr:cNvPr id="5" name="AutoShape 25"/>
        <xdr:cNvSpPr>
          <a:spLocks/>
        </xdr:cNvSpPr>
      </xdr:nvSpPr>
      <xdr:spPr>
        <a:xfrm>
          <a:off x="8039100" y="24364950"/>
          <a:ext cx="171450" cy="11906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122</xdr:row>
      <xdr:rowOff>0</xdr:rowOff>
    </xdr:from>
    <xdr:to>
      <xdr:col>9</xdr:col>
      <xdr:colOff>180975</xdr:colOff>
      <xdr:row>127</xdr:row>
      <xdr:rowOff>180975</xdr:rowOff>
    </xdr:to>
    <xdr:sp>
      <xdr:nvSpPr>
        <xdr:cNvPr id="6" name="AutoShape 26"/>
        <xdr:cNvSpPr>
          <a:spLocks/>
        </xdr:cNvSpPr>
      </xdr:nvSpPr>
      <xdr:spPr>
        <a:xfrm>
          <a:off x="8039100" y="25574625"/>
          <a:ext cx="171450" cy="11811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128</xdr:row>
      <xdr:rowOff>0</xdr:rowOff>
    </xdr:from>
    <xdr:to>
      <xdr:col>9</xdr:col>
      <xdr:colOff>180975</xdr:colOff>
      <xdr:row>137</xdr:row>
      <xdr:rowOff>180975</xdr:rowOff>
    </xdr:to>
    <xdr:sp>
      <xdr:nvSpPr>
        <xdr:cNvPr id="7" name="AutoShape 27"/>
        <xdr:cNvSpPr>
          <a:spLocks/>
        </xdr:cNvSpPr>
      </xdr:nvSpPr>
      <xdr:spPr>
        <a:xfrm>
          <a:off x="8039100" y="26774775"/>
          <a:ext cx="171450" cy="19812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138</xdr:row>
      <xdr:rowOff>0</xdr:rowOff>
    </xdr:from>
    <xdr:to>
      <xdr:col>9</xdr:col>
      <xdr:colOff>161925</xdr:colOff>
      <xdr:row>143</xdr:row>
      <xdr:rowOff>190500</xdr:rowOff>
    </xdr:to>
    <xdr:sp>
      <xdr:nvSpPr>
        <xdr:cNvPr id="8" name="AutoShape 28"/>
        <xdr:cNvSpPr>
          <a:spLocks/>
        </xdr:cNvSpPr>
      </xdr:nvSpPr>
      <xdr:spPr>
        <a:xfrm>
          <a:off x="8039100" y="28775025"/>
          <a:ext cx="152400" cy="11906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9</xdr:col>
      <xdr:colOff>85725</xdr:colOff>
      <xdr:row>214</xdr:row>
      <xdr:rowOff>19050</xdr:rowOff>
    </xdr:to>
    <xdr:graphicFrame>
      <xdr:nvGraphicFramePr>
        <xdr:cNvPr id="9" name="Chart 29"/>
        <xdr:cNvGraphicFramePr/>
      </xdr:nvGraphicFramePr>
      <xdr:xfrm>
        <a:off x="762000" y="37757100"/>
        <a:ext cx="73533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216</xdr:row>
      <xdr:rowOff>114300</xdr:rowOff>
    </xdr:from>
    <xdr:to>
      <xdr:col>6</xdr:col>
      <xdr:colOff>714375</xdr:colOff>
      <xdr:row>243</xdr:row>
      <xdr:rowOff>0</xdr:rowOff>
    </xdr:to>
    <xdr:graphicFrame>
      <xdr:nvGraphicFramePr>
        <xdr:cNvPr id="10" name="Chart 42"/>
        <xdr:cNvGraphicFramePr/>
      </xdr:nvGraphicFramePr>
      <xdr:xfrm>
        <a:off x="352425" y="42433875"/>
        <a:ext cx="605790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409575</xdr:colOff>
      <xdr:row>245</xdr:row>
      <xdr:rowOff>123825</xdr:rowOff>
    </xdr:from>
    <xdr:to>
      <xdr:col>7</xdr:col>
      <xdr:colOff>9525</xdr:colOff>
      <xdr:row>272</xdr:row>
      <xdr:rowOff>9525</xdr:rowOff>
    </xdr:to>
    <xdr:graphicFrame>
      <xdr:nvGraphicFramePr>
        <xdr:cNvPr id="11" name="Chart 44"/>
        <xdr:cNvGraphicFramePr/>
      </xdr:nvGraphicFramePr>
      <xdr:xfrm>
        <a:off x="409575" y="47967900"/>
        <a:ext cx="6067425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3</xdr:col>
      <xdr:colOff>247650</xdr:colOff>
      <xdr:row>253</xdr:row>
      <xdr:rowOff>161925</xdr:rowOff>
    </xdr:from>
    <xdr:to>
      <xdr:col>4</xdr:col>
      <xdr:colOff>285750</xdr:colOff>
      <xdr:row>255</xdr:row>
      <xdr:rowOff>38100</xdr:rowOff>
    </xdr:to>
    <xdr:sp>
      <xdr:nvSpPr>
        <xdr:cNvPr id="12" name="Oval 46"/>
        <xdr:cNvSpPr>
          <a:spLocks/>
        </xdr:cNvSpPr>
      </xdr:nvSpPr>
      <xdr:spPr>
        <a:xfrm>
          <a:off x="3190875" y="49530000"/>
          <a:ext cx="800100" cy="2571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P283"/>
  <sheetViews>
    <sheetView showGridLines="0" tabSelected="1" workbookViewId="0" topLeftCell="A1">
      <selection activeCell="C2" sqref="C2"/>
    </sheetView>
  </sheetViews>
  <sheetFormatPr defaultColWidth="11.421875" defaultRowHeight="12.75"/>
  <cols>
    <col min="1" max="1" width="11.421875" style="38" customWidth="1"/>
    <col min="2" max="2" width="6.00390625" style="38" customWidth="1"/>
    <col min="3" max="3" width="26.7109375" style="38" customWidth="1"/>
    <col min="4" max="4" width="11.421875" style="38" customWidth="1"/>
    <col min="5" max="5" width="14.7109375" style="38" bestFit="1" customWidth="1"/>
    <col min="6" max="6" width="15.140625" style="38" customWidth="1"/>
    <col min="7" max="8" width="11.57421875" style="38" bestFit="1" customWidth="1"/>
    <col min="9" max="9" width="11.8515625" style="38" bestFit="1" customWidth="1"/>
    <col min="10" max="16384" width="11.421875" style="38" customWidth="1"/>
  </cols>
  <sheetData>
    <row r="1" ht="13.5" thickBot="1"/>
    <row r="2" spans="2:9" ht="101.25" customHeight="1" thickBot="1">
      <c r="B2" s="39"/>
      <c r="C2" s="287"/>
      <c r="D2" s="322" t="s">
        <v>448</v>
      </c>
      <c r="E2" s="322"/>
      <c r="F2" s="322"/>
      <c r="G2" s="322"/>
      <c r="H2" s="323"/>
      <c r="I2" s="324"/>
    </row>
    <row r="3" spans="2:9" ht="16.5" thickBot="1">
      <c r="B3" s="40" t="s">
        <v>17</v>
      </c>
      <c r="C3" s="41"/>
      <c r="D3" s="325" t="s">
        <v>456</v>
      </c>
      <c r="E3" s="326"/>
      <c r="F3" s="326"/>
      <c r="G3" s="326"/>
      <c r="H3" s="326"/>
      <c r="I3" s="313"/>
    </row>
    <row r="4" spans="2:11" ht="15.75">
      <c r="B4" s="42">
        <v>1</v>
      </c>
      <c r="C4" s="316" t="s">
        <v>36</v>
      </c>
      <c r="D4" s="316"/>
      <c r="E4" s="316"/>
      <c r="F4" s="316"/>
      <c r="G4" s="316"/>
      <c r="H4" s="316"/>
      <c r="I4" s="317"/>
      <c r="K4" s="137"/>
    </row>
    <row r="5" spans="2:11" ht="15" customHeight="1">
      <c r="B5" s="43">
        <f aca="true" t="shared" si="0" ref="B5:B11">B4+1</f>
        <v>2</v>
      </c>
      <c r="C5" s="44" t="s">
        <v>33</v>
      </c>
      <c r="D5" s="45" t="s">
        <v>70</v>
      </c>
      <c r="E5" s="2">
        <v>6882.35</v>
      </c>
      <c r="F5" s="46"/>
      <c r="G5" s="46"/>
      <c r="H5" s="46"/>
      <c r="I5" s="47"/>
      <c r="K5" s="137"/>
    </row>
    <row r="6" spans="2:11" ht="15" customHeight="1">
      <c r="B6" s="43">
        <f t="shared" si="0"/>
        <v>3</v>
      </c>
      <c r="C6" s="48" t="s">
        <v>58</v>
      </c>
      <c r="D6" s="49" t="s">
        <v>74</v>
      </c>
      <c r="E6" s="28">
        <v>2202.35</v>
      </c>
      <c r="F6" s="50"/>
      <c r="G6" s="50"/>
      <c r="H6" s="50"/>
      <c r="I6" s="51"/>
      <c r="K6" s="137"/>
    </row>
    <row r="7" spans="2:11" ht="15" customHeight="1">
      <c r="B7" s="43">
        <f t="shared" si="0"/>
        <v>4</v>
      </c>
      <c r="C7" s="52" t="s">
        <v>31</v>
      </c>
      <c r="D7" s="53" t="s">
        <v>71</v>
      </c>
      <c r="E7" s="28">
        <v>21</v>
      </c>
      <c r="F7" s="54"/>
      <c r="G7" s="35"/>
      <c r="H7" s="36"/>
      <c r="I7" s="51"/>
      <c r="K7" s="137"/>
    </row>
    <row r="8" spans="2:11" ht="15" customHeight="1" thickBot="1">
      <c r="B8" s="43">
        <f t="shared" si="0"/>
        <v>5</v>
      </c>
      <c r="C8" s="55" t="s">
        <v>32</v>
      </c>
      <c r="D8" s="56" t="s">
        <v>72</v>
      </c>
      <c r="E8" s="2">
        <v>0</v>
      </c>
      <c r="F8" s="33" t="s">
        <v>100</v>
      </c>
      <c r="G8" s="1"/>
      <c r="H8" s="57"/>
      <c r="I8" s="58"/>
      <c r="K8" s="137"/>
    </row>
    <row r="9" spans="2:9" ht="15.75">
      <c r="B9" s="42">
        <f t="shared" si="0"/>
        <v>6</v>
      </c>
      <c r="C9" s="318" t="s">
        <v>18</v>
      </c>
      <c r="D9" s="318"/>
      <c r="E9" s="318"/>
      <c r="F9" s="318"/>
      <c r="G9" s="318"/>
      <c r="H9" s="318"/>
      <c r="I9" s="319"/>
    </row>
    <row r="10" spans="2:10" ht="16.5" customHeight="1">
      <c r="B10" s="59">
        <f t="shared" si="0"/>
        <v>7</v>
      </c>
      <c r="C10" s="314" t="s">
        <v>135</v>
      </c>
      <c r="D10" s="314"/>
      <c r="E10" s="314"/>
      <c r="F10" s="314"/>
      <c r="G10" s="314"/>
      <c r="H10" s="314"/>
      <c r="I10" s="315"/>
      <c r="J10" s="137"/>
    </row>
    <row r="11" spans="2:9" ht="47.25" customHeight="1">
      <c r="B11" s="348">
        <f t="shared" si="0"/>
        <v>8</v>
      </c>
      <c r="C11" s="60" t="s">
        <v>19</v>
      </c>
      <c r="D11" s="61" t="s">
        <v>24</v>
      </c>
      <c r="E11" s="61" t="s">
        <v>25</v>
      </c>
      <c r="F11" s="61" t="s">
        <v>26</v>
      </c>
      <c r="G11" s="61" t="s">
        <v>0</v>
      </c>
      <c r="H11" s="61" t="s">
        <v>27</v>
      </c>
      <c r="I11" s="62" t="s">
        <v>1</v>
      </c>
    </row>
    <row r="12" spans="2:9" ht="12.75">
      <c r="B12" s="348"/>
      <c r="C12" s="63"/>
      <c r="D12" s="63"/>
      <c r="E12" s="63" t="s">
        <v>2</v>
      </c>
      <c r="F12" s="63" t="s">
        <v>3</v>
      </c>
      <c r="G12" s="63" t="s">
        <v>4</v>
      </c>
      <c r="H12" s="63" t="s">
        <v>5</v>
      </c>
      <c r="I12" s="64" t="s">
        <v>4</v>
      </c>
    </row>
    <row r="13" spans="2:9" ht="12.75">
      <c r="B13" s="59">
        <f>B11+1</f>
        <v>9</v>
      </c>
      <c r="C13" s="349" t="s">
        <v>20</v>
      </c>
      <c r="D13" s="60" t="s">
        <v>283</v>
      </c>
      <c r="E13" s="3">
        <v>430.36</v>
      </c>
      <c r="F13" s="3">
        <v>0.13</v>
      </c>
      <c r="G13" s="4">
        <f>E13*F13</f>
        <v>55.9468</v>
      </c>
      <c r="H13" s="60">
        <v>1</v>
      </c>
      <c r="I13" s="5">
        <f>G13*H13</f>
        <v>55.9468</v>
      </c>
    </row>
    <row r="14" spans="2:9" ht="12.75">
      <c r="B14" s="59">
        <f>B13+1</f>
        <v>10</v>
      </c>
      <c r="C14" s="350"/>
      <c r="D14" s="65" t="s">
        <v>284</v>
      </c>
      <c r="E14" s="6">
        <v>4.02</v>
      </c>
      <c r="F14" s="6">
        <v>0.85</v>
      </c>
      <c r="G14" s="7">
        <f aca="true" t="shared" si="1" ref="G14:G35">E14*F14</f>
        <v>3.4169999999999994</v>
      </c>
      <c r="H14" s="65">
        <v>1</v>
      </c>
      <c r="I14" s="8">
        <f aca="true" t="shared" si="2" ref="I14:I35">G14*H14</f>
        <v>3.4169999999999994</v>
      </c>
    </row>
    <row r="15" spans="2:9" ht="12.75">
      <c r="B15" s="59">
        <f aca="true" t="shared" si="3" ref="B15:B35">B14+1</f>
        <v>11</v>
      </c>
      <c r="C15" s="350"/>
      <c r="D15" s="65" t="s">
        <v>285</v>
      </c>
      <c r="E15" s="6">
        <v>277.71</v>
      </c>
      <c r="F15" s="6">
        <v>0.27</v>
      </c>
      <c r="G15" s="7">
        <f t="shared" si="1"/>
        <v>74.9817</v>
      </c>
      <c r="H15" s="65">
        <v>0.5</v>
      </c>
      <c r="I15" s="8">
        <f t="shared" si="2"/>
        <v>37.49085</v>
      </c>
    </row>
    <row r="16" spans="2:11" ht="12.75">
      <c r="B16" s="59">
        <f t="shared" si="3"/>
        <v>12</v>
      </c>
      <c r="C16" s="321"/>
      <c r="D16" s="63" t="s">
        <v>286</v>
      </c>
      <c r="E16" s="9">
        <v>5.55</v>
      </c>
      <c r="F16" s="9">
        <v>0.17</v>
      </c>
      <c r="G16" s="10">
        <f t="shared" si="1"/>
        <v>0.9435</v>
      </c>
      <c r="H16" s="63">
        <v>1</v>
      </c>
      <c r="I16" s="11">
        <f t="shared" si="2"/>
        <v>0.9435</v>
      </c>
      <c r="K16" s="137"/>
    </row>
    <row r="17" spans="2:11" ht="12.75">
      <c r="B17" s="59">
        <f t="shared" si="3"/>
        <v>13</v>
      </c>
      <c r="C17" s="349" t="s">
        <v>21</v>
      </c>
      <c r="D17" s="60" t="s">
        <v>6</v>
      </c>
      <c r="E17" s="3">
        <v>482.35</v>
      </c>
      <c r="F17" s="3">
        <v>0.8</v>
      </c>
      <c r="G17" s="4">
        <f t="shared" si="1"/>
        <v>385.88000000000005</v>
      </c>
      <c r="H17" s="60">
        <v>1</v>
      </c>
      <c r="I17" s="5">
        <f t="shared" si="2"/>
        <v>385.88000000000005</v>
      </c>
      <c r="K17" s="137"/>
    </row>
    <row r="18" spans="2:11" ht="12.75">
      <c r="B18" s="59">
        <f t="shared" si="3"/>
        <v>14</v>
      </c>
      <c r="C18" s="350"/>
      <c r="D18" s="65" t="s">
        <v>7</v>
      </c>
      <c r="E18" s="6">
        <v>64.1</v>
      </c>
      <c r="F18" s="6">
        <v>0.8</v>
      </c>
      <c r="G18" s="7">
        <f t="shared" si="1"/>
        <v>51.28</v>
      </c>
      <c r="H18" s="65">
        <v>1</v>
      </c>
      <c r="I18" s="8">
        <f t="shared" si="2"/>
        <v>51.28</v>
      </c>
      <c r="K18" s="137"/>
    </row>
    <row r="19" spans="2:9" ht="12.75">
      <c r="B19" s="59">
        <f t="shared" si="3"/>
        <v>15</v>
      </c>
      <c r="C19" s="350"/>
      <c r="D19" s="65" t="s">
        <v>8</v>
      </c>
      <c r="E19" s="6">
        <v>104.62</v>
      </c>
      <c r="F19" s="6">
        <v>0.9</v>
      </c>
      <c r="G19" s="7">
        <f t="shared" si="1"/>
        <v>94.158</v>
      </c>
      <c r="H19" s="65">
        <v>1</v>
      </c>
      <c r="I19" s="8">
        <f t="shared" si="2"/>
        <v>94.158</v>
      </c>
    </row>
    <row r="20" spans="2:9" ht="12.75">
      <c r="B20" s="43">
        <f t="shared" si="3"/>
        <v>16</v>
      </c>
      <c r="C20" s="350"/>
      <c r="D20" s="63" t="s">
        <v>9</v>
      </c>
      <c r="E20" s="9">
        <v>12.78</v>
      </c>
      <c r="F20" s="9">
        <v>1.2</v>
      </c>
      <c r="G20" s="10">
        <f t="shared" si="1"/>
        <v>15.335999999999999</v>
      </c>
      <c r="H20" s="63">
        <v>1</v>
      </c>
      <c r="I20" s="11">
        <f t="shared" si="2"/>
        <v>15.335999999999999</v>
      </c>
    </row>
    <row r="21" spans="2:9" ht="12.75">
      <c r="B21" s="59">
        <f t="shared" si="3"/>
        <v>17</v>
      </c>
      <c r="C21" s="66" t="s">
        <v>22</v>
      </c>
      <c r="D21" s="66" t="s">
        <v>10</v>
      </c>
      <c r="E21" s="12">
        <v>8.09</v>
      </c>
      <c r="F21" s="12">
        <v>0.8</v>
      </c>
      <c r="G21" s="13">
        <f t="shared" si="1"/>
        <v>6.472</v>
      </c>
      <c r="H21" s="66">
        <v>1</v>
      </c>
      <c r="I21" s="14">
        <f t="shared" si="2"/>
        <v>6.472</v>
      </c>
    </row>
    <row r="22" spans="2:9" ht="12.75">
      <c r="B22" s="59">
        <f t="shared" si="3"/>
        <v>18</v>
      </c>
      <c r="C22" s="349" t="s">
        <v>23</v>
      </c>
      <c r="D22" s="60" t="s">
        <v>287</v>
      </c>
      <c r="E22" s="3">
        <v>368.56</v>
      </c>
      <c r="F22" s="3">
        <v>0.16</v>
      </c>
      <c r="G22" s="4">
        <f t="shared" si="1"/>
        <v>58.9696</v>
      </c>
      <c r="H22" s="60">
        <v>1</v>
      </c>
      <c r="I22" s="5">
        <f t="shared" si="2"/>
        <v>58.9696</v>
      </c>
    </row>
    <row r="23" spans="2:9" ht="12.75">
      <c r="B23" s="59">
        <f t="shared" si="3"/>
        <v>19</v>
      </c>
      <c r="C23" s="350"/>
      <c r="D23" s="65" t="s">
        <v>288</v>
      </c>
      <c r="E23" s="6">
        <v>81.83</v>
      </c>
      <c r="F23" s="6">
        <v>0.17</v>
      </c>
      <c r="G23" s="7">
        <f t="shared" si="1"/>
        <v>13.911100000000001</v>
      </c>
      <c r="H23" s="65">
        <v>1</v>
      </c>
      <c r="I23" s="8">
        <f t="shared" si="2"/>
        <v>13.911100000000001</v>
      </c>
    </row>
    <row r="24" spans="2:9" ht="12.75">
      <c r="B24" s="59">
        <f t="shared" si="3"/>
        <v>20</v>
      </c>
      <c r="C24" s="321"/>
      <c r="D24" s="63" t="s">
        <v>289</v>
      </c>
      <c r="E24" s="9"/>
      <c r="F24" s="9"/>
      <c r="G24" s="10">
        <f t="shared" si="1"/>
        <v>0</v>
      </c>
      <c r="H24" s="63">
        <v>1</v>
      </c>
      <c r="I24" s="11">
        <f t="shared" si="2"/>
        <v>0</v>
      </c>
    </row>
    <row r="25" spans="2:9" ht="12.75">
      <c r="B25" s="59">
        <f t="shared" si="3"/>
        <v>21</v>
      </c>
      <c r="C25" s="343" t="s">
        <v>29</v>
      </c>
      <c r="D25" s="67" t="s">
        <v>290</v>
      </c>
      <c r="E25" s="15"/>
      <c r="F25" s="15"/>
      <c r="G25" s="16">
        <f t="shared" si="1"/>
        <v>0</v>
      </c>
      <c r="H25" s="67">
        <v>0.8</v>
      </c>
      <c r="I25" s="17">
        <f t="shared" si="2"/>
        <v>0</v>
      </c>
    </row>
    <row r="26" spans="2:9" ht="12.75">
      <c r="B26" s="59">
        <f t="shared" si="3"/>
        <v>22</v>
      </c>
      <c r="C26" s="344"/>
      <c r="D26" s="63" t="s">
        <v>291</v>
      </c>
      <c r="E26" s="9"/>
      <c r="F26" s="9"/>
      <c r="G26" s="10">
        <f t="shared" si="1"/>
        <v>0</v>
      </c>
      <c r="H26" s="63">
        <v>0.8</v>
      </c>
      <c r="I26" s="11">
        <f t="shared" si="2"/>
        <v>0</v>
      </c>
    </row>
    <row r="27" spans="2:9" ht="12.75">
      <c r="B27" s="59">
        <f t="shared" si="3"/>
        <v>23</v>
      </c>
      <c r="C27" s="343" t="s">
        <v>73</v>
      </c>
      <c r="D27" s="67" t="s">
        <v>292</v>
      </c>
      <c r="E27" s="15"/>
      <c r="F27" s="15"/>
      <c r="G27" s="16">
        <f t="shared" si="1"/>
        <v>0</v>
      </c>
      <c r="H27" s="67">
        <v>0.8</v>
      </c>
      <c r="I27" s="17">
        <f t="shared" si="2"/>
        <v>0</v>
      </c>
    </row>
    <row r="28" spans="2:9" ht="12.75">
      <c r="B28" s="59">
        <f t="shared" si="3"/>
        <v>24</v>
      </c>
      <c r="C28" s="344"/>
      <c r="D28" s="63" t="s">
        <v>293</v>
      </c>
      <c r="E28" s="9"/>
      <c r="F28" s="9"/>
      <c r="G28" s="10">
        <f t="shared" si="1"/>
        <v>0</v>
      </c>
      <c r="H28" s="63">
        <v>0.8</v>
      </c>
      <c r="I28" s="11">
        <f t="shared" si="2"/>
        <v>0</v>
      </c>
    </row>
    <row r="29" spans="2:9" ht="12.75">
      <c r="B29" s="59">
        <f t="shared" si="3"/>
        <v>25</v>
      </c>
      <c r="C29" s="343" t="s">
        <v>30</v>
      </c>
      <c r="D29" s="67" t="s">
        <v>294</v>
      </c>
      <c r="E29" s="15"/>
      <c r="F29" s="15"/>
      <c r="G29" s="16">
        <f t="shared" si="1"/>
        <v>0</v>
      </c>
      <c r="H29" s="67">
        <v>0.5</v>
      </c>
      <c r="I29" s="17">
        <f t="shared" si="2"/>
        <v>0</v>
      </c>
    </row>
    <row r="30" spans="2:9" ht="12.75">
      <c r="B30" s="59">
        <f t="shared" si="3"/>
        <v>26</v>
      </c>
      <c r="C30" s="344"/>
      <c r="D30" s="63" t="s">
        <v>295</v>
      </c>
      <c r="E30" s="9"/>
      <c r="F30" s="9"/>
      <c r="G30" s="10">
        <f t="shared" si="1"/>
        <v>0</v>
      </c>
      <c r="H30" s="63">
        <v>0.5</v>
      </c>
      <c r="I30" s="11">
        <f t="shared" si="2"/>
        <v>0</v>
      </c>
    </row>
    <row r="31" spans="2:9" ht="12.75">
      <c r="B31" s="59">
        <f t="shared" si="3"/>
        <v>27</v>
      </c>
      <c r="C31" s="343" t="s">
        <v>54</v>
      </c>
      <c r="D31" s="60" t="s">
        <v>11</v>
      </c>
      <c r="E31" s="3">
        <v>396.07</v>
      </c>
      <c r="F31" s="3">
        <v>0.26</v>
      </c>
      <c r="G31" s="4">
        <f t="shared" si="1"/>
        <v>102.9782</v>
      </c>
      <c r="H31" s="60">
        <v>0.6</v>
      </c>
      <c r="I31" s="5">
        <f t="shared" si="2"/>
        <v>61.786919999999995</v>
      </c>
    </row>
    <row r="32" spans="2:9" ht="12.75">
      <c r="B32" s="59">
        <f>B31+1</f>
        <v>28</v>
      </c>
      <c r="C32" s="345"/>
      <c r="D32" s="65" t="s">
        <v>12</v>
      </c>
      <c r="E32" s="6">
        <v>86.09</v>
      </c>
      <c r="F32" s="6">
        <v>0.2</v>
      </c>
      <c r="G32" s="7">
        <f t="shared" si="1"/>
        <v>17.218</v>
      </c>
      <c r="H32" s="65">
        <v>0.6</v>
      </c>
      <c r="I32" s="8">
        <f t="shared" si="2"/>
        <v>10.3308</v>
      </c>
    </row>
    <row r="33" spans="2:9" ht="12.75">
      <c r="B33" s="59">
        <f t="shared" si="3"/>
        <v>29</v>
      </c>
      <c r="C33" s="345"/>
      <c r="D33" s="65" t="s">
        <v>13</v>
      </c>
      <c r="E33" s="6">
        <v>12.06</v>
      </c>
      <c r="F33" s="6">
        <v>0.2</v>
      </c>
      <c r="G33" s="7">
        <f t="shared" si="1"/>
        <v>2.4120000000000004</v>
      </c>
      <c r="H33" s="65">
        <v>0.6</v>
      </c>
      <c r="I33" s="8">
        <f t="shared" si="2"/>
        <v>1.4472000000000003</v>
      </c>
    </row>
    <row r="34" spans="2:9" ht="12.75">
      <c r="B34" s="59">
        <f t="shared" si="3"/>
        <v>30</v>
      </c>
      <c r="C34" s="345"/>
      <c r="D34" s="65" t="s">
        <v>14</v>
      </c>
      <c r="E34" s="6"/>
      <c r="F34" s="6"/>
      <c r="G34" s="7">
        <f t="shared" si="1"/>
        <v>0</v>
      </c>
      <c r="H34" s="65">
        <v>0.6</v>
      </c>
      <c r="I34" s="8">
        <f t="shared" si="2"/>
        <v>0</v>
      </c>
    </row>
    <row r="35" spans="2:9" ht="12.75">
      <c r="B35" s="59">
        <f t="shared" si="3"/>
        <v>31</v>
      </c>
      <c r="C35" s="344"/>
      <c r="D35" s="63" t="s">
        <v>15</v>
      </c>
      <c r="E35" s="18"/>
      <c r="F35" s="18"/>
      <c r="G35" s="10">
        <f t="shared" si="1"/>
        <v>0</v>
      </c>
      <c r="H35" s="63">
        <v>0.6</v>
      </c>
      <c r="I35" s="11">
        <f t="shared" si="2"/>
        <v>0</v>
      </c>
    </row>
    <row r="36" spans="2:9" ht="33.75" customHeight="1" thickBot="1">
      <c r="B36" s="59">
        <f>B35+1</f>
        <v>32</v>
      </c>
      <c r="C36" s="346" t="s">
        <v>16</v>
      </c>
      <c r="D36" s="347"/>
      <c r="E36" s="19">
        <f>IF(ISNUMBER(E7),SUM(E13:E35),0)</f>
        <v>2334.1899999999996</v>
      </c>
      <c r="F36" s="320" t="s">
        <v>28</v>
      </c>
      <c r="G36" s="311"/>
      <c r="H36" s="312"/>
      <c r="I36" s="20">
        <f>SUM(I13:I35)</f>
        <v>797.36977</v>
      </c>
    </row>
    <row r="37" spans="2:9" ht="15.75">
      <c r="B37" s="331">
        <f>B36+1</f>
        <v>33</v>
      </c>
      <c r="C37" s="69" t="s">
        <v>138</v>
      </c>
      <c r="D37" s="70" t="s">
        <v>132</v>
      </c>
      <c r="E37" s="69"/>
      <c r="F37" s="71"/>
      <c r="G37" s="72"/>
      <c r="H37" s="73"/>
      <c r="I37" s="74"/>
    </row>
    <row r="38" spans="2:9" ht="16.5" thickBot="1">
      <c r="B38" s="332"/>
      <c r="C38" s="75"/>
      <c r="D38" s="76" t="s">
        <v>75</v>
      </c>
      <c r="E38" s="144">
        <f>I36</f>
        <v>797.36977</v>
      </c>
      <c r="F38" s="140">
        <f>E7-E8</f>
        <v>21</v>
      </c>
      <c r="G38" s="21"/>
      <c r="H38" s="77" t="s">
        <v>76</v>
      </c>
      <c r="I38" s="20">
        <f>E38*F38</f>
        <v>16744.76517</v>
      </c>
    </row>
    <row r="39" spans="2:9" ht="16.5" thickBot="1">
      <c r="B39" s="42">
        <f>B37+1</f>
        <v>34</v>
      </c>
      <c r="C39" s="337" t="s">
        <v>89</v>
      </c>
      <c r="D39" s="337"/>
      <c r="E39" s="337"/>
      <c r="F39" s="337"/>
      <c r="G39" s="337"/>
      <c r="H39" s="337"/>
      <c r="I39" s="338"/>
    </row>
    <row r="40" spans="2:9" ht="15.75">
      <c r="B40" s="59">
        <f>B39+1</f>
        <v>35</v>
      </c>
      <c r="C40" s="78" t="s">
        <v>34</v>
      </c>
      <c r="D40" s="69" t="s">
        <v>131</v>
      </c>
      <c r="E40" s="2">
        <v>0.6</v>
      </c>
      <c r="F40" s="22"/>
      <c r="G40" s="48"/>
      <c r="H40" s="68"/>
      <c r="I40" s="23"/>
    </row>
    <row r="41" spans="2:9" ht="25.5">
      <c r="B41" s="43">
        <f>B40+1</f>
        <v>36</v>
      </c>
      <c r="C41" s="79" t="s">
        <v>59</v>
      </c>
      <c r="D41" s="80" t="s">
        <v>79</v>
      </c>
      <c r="E41" s="28">
        <v>0.8</v>
      </c>
      <c r="F41" s="32"/>
      <c r="G41" s="48"/>
      <c r="H41" s="81"/>
      <c r="I41" s="24"/>
    </row>
    <row r="42" spans="2:9" ht="15.75">
      <c r="B42" s="331">
        <f>B41+1</f>
        <v>37</v>
      </c>
      <c r="C42" s="79" t="s">
        <v>35</v>
      </c>
      <c r="D42" s="358" t="s">
        <v>133</v>
      </c>
      <c r="E42" s="358"/>
      <c r="F42" s="358"/>
      <c r="H42" s="82"/>
      <c r="I42" s="24"/>
    </row>
    <row r="43" spans="2:9" ht="16.5" thickBot="1">
      <c r="B43" s="336"/>
      <c r="C43" s="83"/>
      <c r="D43" s="76" t="s">
        <v>77</v>
      </c>
      <c r="E43" s="141">
        <f>E5*'General Values'!B2*'General Values'!B3*E40*(1-E41)*(1/3.6)</f>
        <v>276.6704699999999</v>
      </c>
      <c r="F43" s="140">
        <f>E7-E8</f>
        <v>21</v>
      </c>
      <c r="G43" s="83"/>
      <c r="H43" s="77" t="s">
        <v>78</v>
      </c>
      <c r="I43" s="138">
        <f>E43*F43</f>
        <v>5810.079869999998</v>
      </c>
    </row>
    <row r="44" spans="2:9" ht="15.75">
      <c r="B44" s="42">
        <f>B42+1</f>
        <v>38</v>
      </c>
      <c r="C44" s="351" t="s">
        <v>43</v>
      </c>
      <c r="D44" s="316"/>
      <c r="E44" s="316"/>
      <c r="F44" s="316"/>
      <c r="G44" s="316"/>
      <c r="H44" s="316"/>
      <c r="I44" s="317"/>
    </row>
    <row r="45" spans="2:9" ht="19.5">
      <c r="B45" s="59">
        <f>B44+1</f>
        <v>39</v>
      </c>
      <c r="C45" s="352" t="s">
        <v>87</v>
      </c>
      <c r="D45" s="353"/>
      <c r="E45" s="353"/>
      <c r="F45" s="353"/>
      <c r="G45" s="353"/>
      <c r="H45" s="353"/>
      <c r="I45" s="354"/>
    </row>
    <row r="46" spans="2:10" ht="15.75">
      <c r="B46" s="59">
        <f>B45+1</f>
        <v>40</v>
      </c>
      <c r="C46" s="84" t="s">
        <v>55</v>
      </c>
      <c r="D46" s="85" t="s">
        <v>136</v>
      </c>
      <c r="E46" s="2">
        <v>0.3</v>
      </c>
      <c r="F46" s="86"/>
      <c r="G46" s="86"/>
      <c r="H46" s="86"/>
      <c r="I46" s="87"/>
      <c r="J46" s="137"/>
    </row>
    <row r="47" spans="2:10" ht="63">
      <c r="B47" s="348">
        <f>B46+1</f>
        <v>41</v>
      </c>
      <c r="C47" s="339" t="s">
        <v>46</v>
      </c>
      <c r="D47" s="340"/>
      <c r="E47" s="355" t="s">
        <v>81</v>
      </c>
      <c r="F47" s="356"/>
      <c r="G47" s="61" t="s">
        <v>82</v>
      </c>
      <c r="H47" s="61" t="s">
        <v>139</v>
      </c>
      <c r="I47" s="88" t="s">
        <v>137</v>
      </c>
      <c r="J47" s="137"/>
    </row>
    <row r="48" spans="2:9" ht="12.75">
      <c r="B48" s="348"/>
      <c r="C48" s="357"/>
      <c r="D48" s="357"/>
      <c r="E48" s="321" t="s">
        <v>47</v>
      </c>
      <c r="F48" s="321"/>
      <c r="G48" s="63" t="s">
        <v>42</v>
      </c>
      <c r="H48" s="63" t="s">
        <v>5</v>
      </c>
      <c r="I48" s="64" t="s">
        <v>49</v>
      </c>
    </row>
    <row r="49" spans="2:9" ht="12.75">
      <c r="B49" s="59">
        <f>B47+1</f>
        <v>42</v>
      </c>
      <c r="C49" s="339" t="s">
        <v>50</v>
      </c>
      <c r="D49" s="340"/>
      <c r="E49" s="339">
        <v>20</v>
      </c>
      <c r="F49" s="340"/>
      <c r="G49" s="15">
        <v>435.03</v>
      </c>
      <c r="H49" s="15">
        <v>0.42</v>
      </c>
      <c r="I49" s="17">
        <f>E49*(1-E46)*0.9*0.9*H49*G49</f>
        <v>2071.9608839999996</v>
      </c>
    </row>
    <row r="50" spans="2:9" ht="12.75">
      <c r="B50" s="59">
        <f>B49+1</f>
        <v>43</v>
      </c>
      <c r="C50" s="341"/>
      <c r="D50" s="342"/>
      <c r="E50" s="341"/>
      <c r="F50" s="342"/>
      <c r="G50" s="9">
        <v>12.78</v>
      </c>
      <c r="H50" s="9">
        <v>0.58</v>
      </c>
      <c r="I50" s="11">
        <f>E49*(1-E46)*0.9*0.9*H50*G50</f>
        <v>84.05661599999999</v>
      </c>
    </row>
    <row r="51" spans="2:9" ht="12.75">
      <c r="B51" s="89">
        <f aca="true" t="shared" si="4" ref="B51:B58">B50+1</f>
        <v>44</v>
      </c>
      <c r="C51" s="339" t="s">
        <v>51</v>
      </c>
      <c r="D51" s="340"/>
      <c r="E51" s="339">
        <v>20</v>
      </c>
      <c r="F51" s="340"/>
      <c r="G51" s="15">
        <v>31.26</v>
      </c>
      <c r="H51" s="15">
        <v>0.42</v>
      </c>
      <c r="I51" s="17">
        <f>E51*(1-E46)*0.9*0.9*H51*G51</f>
        <v>148.88512799999998</v>
      </c>
    </row>
    <row r="52" spans="2:9" ht="12.75">
      <c r="B52" s="59">
        <f t="shared" si="4"/>
        <v>45</v>
      </c>
      <c r="C52" s="341"/>
      <c r="D52" s="342"/>
      <c r="E52" s="341"/>
      <c r="F52" s="342"/>
      <c r="G52" s="9"/>
      <c r="H52" s="9"/>
      <c r="I52" s="11">
        <f>E51*(1-E46)*0.9*0.9*H52*G52</f>
        <v>0</v>
      </c>
    </row>
    <row r="53" spans="2:9" ht="12.75">
      <c r="B53" s="59">
        <f t="shared" si="4"/>
        <v>46</v>
      </c>
      <c r="C53" s="339" t="s">
        <v>52</v>
      </c>
      <c r="D53" s="340"/>
      <c r="E53" s="339">
        <v>50</v>
      </c>
      <c r="F53" s="340"/>
      <c r="G53" s="15">
        <v>81.9</v>
      </c>
      <c r="H53" s="15">
        <v>0.42</v>
      </c>
      <c r="I53" s="17">
        <f>E53*(1-E46)*0.9*0.9*H53*G53</f>
        <v>975.1833</v>
      </c>
    </row>
    <row r="54" spans="2:9" ht="12.75">
      <c r="B54" s="59">
        <f t="shared" si="4"/>
        <v>47</v>
      </c>
      <c r="C54" s="341"/>
      <c r="D54" s="342"/>
      <c r="E54" s="341"/>
      <c r="F54" s="342"/>
      <c r="G54" s="9"/>
      <c r="H54" s="9"/>
      <c r="I54" s="11">
        <f>E53*(1-E46)*0.9*0.9*H54*G54</f>
        <v>0</v>
      </c>
    </row>
    <row r="55" spans="2:9" ht="12.75">
      <c r="B55" s="59">
        <f t="shared" si="4"/>
        <v>48</v>
      </c>
      <c r="C55" s="362" t="s">
        <v>53</v>
      </c>
      <c r="D55" s="363"/>
      <c r="E55" s="364">
        <v>5</v>
      </c>
      <c r="F55" s="364"/>
      <c r="G55" s="12"/>
      <c r="H55" s="12"/>
      <c r="I55" s="11">
        <f>E55*(1-E46)*0.9*0.9*H55*G55</f>
        <v>0</v>
      </c>
    </row>
    <row r="56" spans="2:9" ht="16.5" thickBot="1">
      <c r="B56" s="90">
        <f t="shared" si="4"/>
        <v>49</v>
      </c>
      <c r="C56" s="91" t="s">
        <v>48</v>
      </c>
      <c r="D56" s="92" t="s">
        <v>134</v>
      </c>
      <c r="E56" s="93"/>
      <c r="F56" s="93"/>
      <c r="G56" s="93"/>
      <c r="H56" s="94" t="s">
        <v>80</v>
      </c>
      <c r="I56" s="26">
        <f>SUM(I49:I55)</f>
        <v>3280.0859279999995</v>
      </c>
    </row>
    <row r="57" spans="2:9" ht="20.25" thickBot="1">
      <c r="B57" s="95">
        <f t="shared" si="4"/>
        <v>50</v>
      </c>
      <c r="C57" s="360" t="s">
        <v>88</v>
      </c>
      <c r="D57" s="360"/>
      <c r="E57" s="360"/>
      <c r="F57" s="360"/>
      <c r="G57" s="360"/>
      <c r="H57" s="360"/>
      <c r="I57" s="361"/>
    </row>
    <row r="58" spans="2:9" ht="15.75">
      <c r="B58" s="59">
        <f t="shared" si="4"/>
        <v>51</v>
      </c>
      <c r="C58" s="96" t="s">
        <v>394</v>
      </c>
      <c r="D58" s="97" t="s">
        <v>395</v>
      </c>
      <c r="E58" s="267">
        <v>12.5</v>
      </c>
      <c r="F58" s="27"/>
      <c r="G58" s="97"/>
      <c r="H58" s="98"/>
      <c r="I58" s="23"/>
    </row>
    <row r="59" spans="2:9" ht="15.75">
      <c r="B59" s="331">
        <f>B58+1</f>
        <v>52</v>
      </c>
      <c r="C59" s="106" t="s">
        <v>44</v>
      </c>
      <c r="D59" s="158" t="s">
        <v>83</v>
      </c>
      <c r="E59" s="158" t="s">
        <v>396</v>
      </c>
      <c r="F59" s="252"/>
      <c r="G59" s="158"/>
      <c r="H59" s="253"/>
      <c r="I59" s="24"/>
    </row>
    <row r="60" spans="2:9" ht="15.75">
      <c r="B60" s="333"/>
      <c r="C60" s="103"/>
      <c r="D60" s="119" t="s">
        <v>83</v>
      </c>
      <c r="E60" s="211">
        <f>E58</f>
        <v>12.5</v>
      </c>
      <c r="F60" s="261">
        <f>'General Values'!F2</f>
        <v>80</v>
      </c>
      <c r="G60" s="119"/>
      <c r="H60" s="254" t="s">
        <v>84</v>
      </c>
      <c r="I60" s="257">
        <f>E60*F60</f>
        <v>1000</v>
      </c>
    </row>
    <row r="61" spans="2:9" ht="15.75">
      <c r="B61" s="59">
        <f>B59+1</f>
        <v>53</v>
      </c>
      <c r="C61" s="96" t="s">
        <v>449</v>
      </c>
      <c r="D61" s="97" t="s">
        <v>355</v>
      </c>
      <c r="E61" s="267">
        <v>1.36218130633</v>
      </c>
      <c r="F61" s="27"/>
      <c r="G61" s="97"/>
      <c r="H61" s="251"/>
      <c r="I61" s="256"/>
    </row>
    <row r="62" spans="2:9" ht="15.75">
      <c r="B62" s="331">
        <f>B61+1</f>
        <v>54</v>
      </c>
      <c r="C62" s="106" t="s">
        <v>45</v>
      </c>
      <c r="D62" s="158" t="s">
        <v>85</v>
      </c>
      <c r="E62" s="158" t="s">
        <v>356</v>
      </c>
      <c r="F62" s="252"/>
      <c r="G62" s="158"/>
      <c r="H62" s="255"/>
      <c r="I62" s="24"/>
    </row>
    <row r="63" spans="2:9" ht="16.5" thickBot="1">
      <c r="B63" s="359"/>
      <c r="C63" s="250"/>
      <c r="D63" s="259" t="s">
        <v>85</v>
      </c>
      <c r="E63" s="211">
        <f>E61</f>
        <v>1.36218130633</v>
      </c>
      <c r="F63" s="261">
        <f>E6</f>
        <v>2202.35</v>
      </c>
      <c r="G63" s="69"/>
      <c r="H63" s="258" t="s">
        <v>86</v>
      </c>
      <c r="I63" s="20">
        <f>E63*F63</f>
        <v>2999.999999995875</v>
      </c>
    </row>
    <row r="64" spans="2:9" ht="16.5" thickBot="1">
      <c r="B64" s="194">
        <f>B62+1</f>
        <v>55</v>
      </c>
      <c r="C64" s="351" t="s">
        <v>379</v>
      </c>
      <c r="D64" s="316"/>
      <c r="E64" s="316"/>
      <c r="F64" s="316"/>
      <c r="G64" s="316"/>
      <c r="H64" s="316"/>
      <c r="I64" s="317"/>
    </row>
    <row r="65" spans="2:9" ht="15" customHeight="1">
      <c r="B65" s="89">
        <f>B64+1</f>
        <v>56</v>
      </c>
      <c r="C65" s="180" t="s">
        <v>201</v>
      </c>
      <c r="D65" s="181" t="s">
        <v>199</v>
      </c>
      <c r="E65" s="182">
        <v>2</v>
      </c>
      <c r="F65" s="183"/>
      <c r="G65" s="181"/>
      <c r="H65" s="186"/>
      <c r="I65" s="23"/>
    </row>
    <row r="66" spans="2:10" s="114" customFormat="1" ht="15.75">
      <c r="B66" s="331">
        <f>B65+1</f>
        <v>57</v>
      </c>
      <c r="C66" s="115" t="s">
        <v>202</v>
      </c>
      <c r="D66" s="116" t="s">
        <v>372</v>
      </c>
      <c r="E66" s="117"/>
      <c r="F66" s="117"/>
      <c r="G66" s="117"/>
      <c r="H66" s="117"/>
      <c r="I66" s="188"/>
      <c r="J66" s="137"/>
    </row>
    <row r="67" spans="2:9" ht="15" customHeight="1">
      <c r="B67" s="332"/>
      <c r="C67" s="69"/>
      <c r="D67" s="116" t="s">
        <v>203</v>
      </c>
      <c r="E67" s="260">
        <f>E65</f>
        <v>2</v>
      </c>
      <c r="F67" s="261">
        <f>E6</f>
        <v>2202.35</v>
      </c>
      <c r="G67" s="69"/>
      <c r="H67" s="73" t="s">
        <v>200</v>
      </c>
      <c r="I67" s="24">
        <f>E67*F67</f>
        <v>4404.7</v>
      </c>
    </row>
    <row r="68" spans="2:9" ht="15" customHeight="1">
      <c r="B68" s="59">
        <f>B66+1</f>
        <v>58</v>
      </c>
      <c r="C68" s="96" t="s">
        <v>204</v>
      </c>
      <c r="D68" s="97" t="s">
        <v>205</v>
      </c>
      <c r="E68" s="28">
        <v>0.54</v>
      </c>
      <c r="F68" s="27"/>
      <c r="G68" s="97"/>
      <c r="H68" s="262"/>
      <c r="I68" s="256"/>
    </row>
    <row r="69" spans="2:10" s="114" customFormat="1" ht="15.75">
      <c r="B69" s="331">
        <f>B68+1</f>
        <v>59</v>
      </c>
      <c r="C69" s="115" t="s">
        <v>206</v>
      </c>
      <c r="D69" s="116" t="s">
        <v>210</v>
      </c>
      <c r="E69" s="117"/>
      <c r="F69" s="117"/>
      <c r="G69" s="117"/>
      <c r="H69" s="117"/>
      <c r="I69" s="188"/>
      <c r="J69" s="137"/>
    </row>
    <row r="70" spans="2:9" ht="15" customHeight="1" thickBot="1">
      <c r="B70" s="332"/>
      <c r="C70" s="119"/>
      <c r="D70" s="116" t="s">
        <v>207</v>
      </c>
      <c r="E70" s="211">
        <f>E68</f>
        <v>0.54</v>
      </c>
      <c r="F70" s="213">
        <f>E5</f>
        <v>6882.35</v>
      </c>
      <c r="G70" s="213">
        <f>E40</f>
        <v>0.6</v>
      </c>
      <c r="H70" s="187" t="s">
        <v>208</v>
      </c>
      <c r="I70" s="20">
        <f>E70*F70*G70</f>
        <v>2229.8814</v>
      </c>
    </row>
    <row r="71" spans="2:9" ht="19.5" thickBot="1">
      <c r="B71" s="194">
        <f>B69+1</f>
        <v>60</v>
      </c>
      <c r="C71" s="370" t="s">
        <v>380</v>
      </c>
      <c r="D71" s="371"/>
      <c r="E71" s="371"/>
      <c r="F71" s="371"/>
      <c r="G71" s="371"/>
      <c r="H71" s="371"/>
      <c r="I71" s="372"/>
    </row>
    <row r="72" spans="2:9" ht="15.75">
      <c r="B72" s="332">
        <f>B71+1</f>
        <v>61</v>
      </c>
      <c r="C72" s="69" t="s">
        <v>56</v>
      </c>
      <c r="D72" s="99" t="s">
        <v>373</v>
      </c>
      <c r="E72" s="100"/>
      <c r="F72" s="100"/>
      <c r="G72" s="100"/>
      <c r="H72" s="101"/>
      <c r="I72" s="268"/>
    </row>
    <row r="73" spans="2:9" ht="16.5" thickBot="1">
      <c r="B73" s="333"/>
      <c r="C73" s="103"/>
      <c r="D73" s="104" t="s">
        <v>90</v>
      </c>
      <c r="E73" s="142">
        <f>I38+I43</f>
        <v>22554.845039999997</v>
      </c>
      <c r="F73" s="139">
        <f>I56+I60+I63+I67</f>
        <v>11684.785927995876</v>
      </c>
      <c r="G73" s="29"/>
      <c r="H73" s="105" t="s">
        <v>91</v>
      </c>
      <c r="I73" s="30">
        <f>IF(E73&gt;F73,(I38+I43)-(I56+I60+I63+I67),0)</f>
        <v>10870.05911200412</v>
      </c>
    </row>
    <row r="74" spans="2:9" ht="15.75">
      <c r="B74" s="331">
        <f>B72+1</f>
        <v>62</v>
      </c>
      <c r="C74" s="106" t="s">
        <v>57</v>
      </c>
      <c r="D74" s="107" t="s">
        <v>92</v>
      </c>
      <c r="E74" s="108" t="s">
        <v>93</v>
      </c>
      <c r="F74" s="109"/>
      <c r="G74" s="109"/>
      <c r="H74" s="109"/>
      <c r="I74" s="102"/>
    </row>
    <row r="75" spans="2:9" ht="16.5" thickBot="1">
      <c r="B75" s="373"/>
      <c r="C75" s="75"/>
      <c r="D75" s="110" t="s">
        <v>92</v>
      </c>
      <c r="E75" s="193">
        <f>I73</f>
        <v>10870.05911200412</v>
      </c>
      <c r="F75" s="140">
        <f>E6</f>
        <v>2202.35</v>
      </c>
      <c r="G75" s="31"/>
      <c r="H75" s="111" t="s">
        <v>94</v>
      </c>
      <c r="I75" s="30">
        <f>IF(E6&gt;0,I73/E6,"")</f>
        <v>4.93566377369815</v>
      </c>
    </row>
    <row r="76" spans="2:9" ht="16.5" thickBot="1">
      <c r="B76" s="194">
        <f>B74+1</f>
        <v>63</v>
      </c>
      <c r="C76" s="370" t="s">
        <v>357</v>
      </c>
      <c r="D76" s="371"/>
      <c r="E76" s="371"/>
      <c r="F76" s="371"/>
      <c r="G76" s="371"/>
      <c r="H76" s="371"/>
      <c r="I76" s="372"/>
    </row>
    <row r="77" spans="2:10" ht="15" customHeight="1">
      <c r="B77" s="374">
        <f>B76+1</f>
        <v>64</v>
      </c>
      <c r="C77" s="375" t="s">
        <v>190</v>
      </c>
      <c r="D77" s="69"/>
      <c r="E77" s="100"/>
      <c r="F77" s="100"/>
      <c r="H77" s="174" t="s">
        <v>375</v>
      </c>
      <c r="I77" s="24">
        <f>INDEX('Values Generation-Conversion'!B3:B17,'Values Generation-Conversion'!I2)</f>
        <v>0.89</v>
      </c>
      <c r="J77" s="143"/>
    </row>
    <row r="78" spans="2:10" ht="15" customHeight="1">
      <c r="B78" s="365"/>
      <c r="C78" s="368"/>
      <c r="D78" s="69"/>
      <c r="E78" s="100"/>
      <c r="F78" s="100"/>
      <c r="H78" s="172" t="s">
        <v>223</v>
      </c>
      <c r="I78" s="24">
        <f>INDEX('Values Generation-Conversion'!C3:C17,'Values Generation-Conversion'!I2)</f>
        <v>2</v>
      </c>
      <c r="J78" s="173"/>
    </row>
    <row r="79" spans="2:10" ht="15" customHeight="1">
      <c r="B79" s="365"/>
      <c r="C79" s="368"/>
      <c r="D79" s="69"/>
      <c r="E79" s="100"/>
      <c r="F79" s="100"/>
      <c r="H79" s="172" t="s">
        <v>96</v>
      </c>
      <c r="I79" s="24">
        <f>INDEX('Values Generation-Conversion'!D3:D17,'Values Generation-Conversion'!I2)</f>
        <v>0.21</v>
      </c>
      <c r="J79" s="173"/>
    </row>
    <row r="80" spans="2:10" ht="15" customHeight="1">
      <c r="B80" s="365"/>
      <c r="C80" s="368"/>
      <c r="D80" s="69"/>
      <c r="E80" s="100"/>
      <c r="F80" s="100"/>
      <c r="H80" s="172" t="s">
        <v>222</v>
      </c>
      <c r="I80" s="24">
        <f>INDEX('Values Generation-Conversion'!E3:E17,'Values Generation-Conversion'!I2)</f>
        <v>100</v>
      </c>
      <c r="J80" s="173"/>
    </row>
    <row r="81" spans="2:10" ht="15" customHeight="1">
      <c r="B81" s="365"/>
      <c r="C81" s="368"/>
      <c r="D81" s="69"/>
      <c r="E81" s="100"/>
      <c r="F81" s="100"/>
      <c r="H81" s="176" t="s">
        <v>454</v>
      </c>
      <c r="I81" s="24">
        <f>INDEX('Values Generation-Conversion'!F3:F17,'Values Generation-Conversion'!I2)</f>
        <v>0.01</v>
      </c>
      <c r="J81" s="173"/>
    </row>
    <row r="82" spans="2:10" ht="15" customHeight="1">
      <c r="B82" s="365"/>
      <c r="C82" s="368"/>
      <c r="D82" s="69"/>
      <c r="E82" s="100"/>
      <c r="F82" s="100"/>
      <c r="H82" s="176" t="s">
        <v>455</v>
      </c>
      <c r="I82" s="24">
        <f>INDEX('Values Generation-Conversion'!G3:G17,'Values Generation-Conversion'!I2)</f>
        <v>0</v>
      </c>
      <c r="J82" s="173"/>
    </row>
    <row r="83" spans="2:10" ht="15" customHeight="1" thickBot="1">
      <c r="B83" s="366"/>
      <c r="C83" s="369"/>
      <c r="D83" s="69"/>
      <c r="E83" s="100"/>
      <c r="F83" s="100"/>
      <c r="H83" s="202" t="s">
        <v>278</v>
      </c>
      <c r="I83" s="24">
        <f>INDEX('Values Generation-Conversion'!H3:H17,'Values Generation-Conversion'!I2)</f>
        <v>0</v>
      </c>
      <c r="J83" s="173"/>
    </row>
    <row r="84" spans="2:10" ht="15" customHeight="1">
      <c r="B84" s="331">
        <f>B77+1</f>
        <v>65</v>
      </c>
      <c r="C84" s="367" t="s">
        <v>191</v>
      </c>
      <c r="D84" s="158"/>
      <c r="E84" s="46"/>
      <c r="F84" s="46"/>
      <c r="G84" s="109"/>
      <c r="H84" s="177" t="s">
        <v>224</v>
      </c>
      <c r="I84" s="23">
        <f>INDEX('Values Storage'!B3:B6,'Values Storage'!F2)</f>
        <v>1</v>
      </c>
      <c r="J84" s="173"/>
    </row>
    <row r="85" spans="2:10" ht="15" customHeight="1">
      <c r="B85" s="365"/>
      <c r="C85" s="368"/>
      <c r="D85" s="69"/>
      <c r="E85" s="100"/>
      <c r="F85" s="100"/>
      <c r="G85" s="126"/>
      <c r="H85" s="176" t="s">
        <v>225</v>
      </c>
      <c r="I85" s="24">
        <f>INDEX('Values Storage'!C3:C6,'Values Storage'!F2)</f>
        <v>0</v>
      </c>
      <c r="J85" s="173"/>
    </row>
    <row r="86" spans="2:9" ht="15" customHeight="1" thickBot="1">
      <c r="B86" s="366"/>
      <c r="C86" s="369"/>
      <c r="D86" s="120"/>
      <c r="E86" s="57"/>
      <c r="F86" s="130"/>
      <c r="G86" s="130"/>
      <c r="H86" s="175" t="s">
        <v>382</v>
      </c>
      <c r="I86" s="20">
        <f>INDEX('Values Storage'!D3:D6,'Values Storage'!F2)</f>
        <v>0</v>
      </c>
    </row>
    <row r="87" spans="2:9" ht="15.75" customHeight="1">
      <c r="B87" s="331">
        <f>B84+1</f>
        <v>66</v>
      </c>
      <c r="C87" s="367" t="s">
        <v>193</v>
      </c>
      <c r="D87" s="112" t="s">
        <v>358</v>
      </c>
      <c r="E87" s="246"/>
      <c r="F87" s="192"/>
      <c r="G87" s="192"/>
      <c r="H87" s="169"/>
      <c r="I87" s="263"/>
    </row>
    <row r="88" spans="2:9" ht="15.75" customHeight="1">
      <c r="B88" s="365"/>
      <c r="C88" s="368"/>
      <c r="D88" s="249" t="s">
        <v>300</v>
      </c>
      <c r="E88" s="246"/>
      <c r="F88" s="192"/>
      <c r="G88" s="192"/>
      <c r="H88" s="231"/>
      <c r="I88" s="24"/>
    </row>
    <row r="89" spans="2:9" ht="15.75" customHeight="1">
      <c r="B89" s="365"/>
      <c r="C89" s="368"/>
      <c r="D89" s="249" t="s">
        <v>306</v>
      </c>
      <c r="E89" s="246"/>
      <c r="F89" s="192"/>
      <c r="G89" s="192"/>
      <c r="H89" s="231" t="s">
        <v>226</v>
      </c>
      <c r="I89" s="24">
        <f>'Values Distribution'!A38</f>
        <v>0.9603999999999999</v>
      </c>
    </row>
    <row r="90" spans="2:9" ht="15.75" customHeight="1" thickBot="1">
      <c r="B90" s="366"/>
      <c r="C90" s="369"/>
      <c r="D90" s="247" t="s">
        <v>313</v>
      </c>
      <c r="E90" s="248"/>
      <c r="F90" s="169"/>
      <c r="G90" s="264"/>
      <c r="H90" s="175" t="s">
        <v>227</v>
      </c>
      <c r="I90" s="20">
        <f>'Values Distribution'!B38</f>
        <v>164.11894525652048</v>
      </c>
    </row>
    <row r="91" spans="2:9" ht="15" customHeight="1">
      <c r="B91" s="331">
        <f>B87+1</f>
        <v>67</v>
      </c>
      <c r="C91" s="367" t="s">
        <v>95</v>
      </c>
      <c r="D91" s="376"/>
      <c r="E91" s="384"/>
      <c r="F91" s="191"/>
      <c r="G91" s="109"/>
      <c r="H91" s="113" t="s">
        <v>97</v>
      </c>
      <c r="I91" s="23">
        <f>INDEX('Values Emission'!B3:B19,'Values Emission'!H2)</f>
        <v>28</v>
      </c>
    </row>
    <row r="92" spans="2:9" ht="15" customHeight="1">
      <c r="B92" s="332"/>
      <c r="C92" s="380"/>
      <c r="D92" s="377"/>
      <c r="E92" s="385"/>
      <c r="F92" s="192"/>
      <c r="G92" s="126"/>
      <c r="H92" s="45" t="s">
        <v>99</v>
      </c>
      <c r="I92" s="24">
        <f>INDEX('Values Emission'!C3:C19,'Values Emission'!H2)</f>
        <v>22</v>
      </c>
    </row>
    <row r="93" spans="2:9" ht="15" customHeight="1">
      <c r="B93" s="332"/>
      <c r="C93" s="380"/>
      <c r="D93" s="377"/>
      <c r="E93" s="385"/>
      <c r="F93" s="192"/>
      <c r="G93" s="126"/>
      <c r="H93" s="176" t="s">
        <v>228</v>
      </c>
      <c r="I93" s="24">
        <f>INDEX('Values Emission'!D3:D19,'Values Emission'!H2)</f>
        <v>0.2</v>
      </c>
    </row>
    <row r="94" spans="2:9" ht="15" customHeight="1">
      <c r="B94" s="388"/>
      <c r="C94" s="380"/>
      <c r="D94" s="378"/>
      <c r="E94" s="386"/>
      <c r="F94" s="169"/>
      <c r="H94" s="179" t="s">
        <v>229</v>
      </c>
      <c r="I94" s="24">
        <f>INDEX('Values Emission'!E3:E19,'Values Emission'!H2)</f>
        <v>100</v>
      </c>
    </row>
    <row r="95" spans="2:9" ht="15" customHeight="1" thickBot="1">
      <c r="B95" s="365"/>
      <c r="C95" s="368"/>
      <c r="D95" s="379"/>
      <c r="E95" s="387"/>
      <c r="F95" s="169"/>
      <c r="H95" s="231" t="s">
        <v>230</v>
      </c>
      <c r="I95" s="24">
        <f>INDEX('Values Emission'!F3:F19,'Values Emission'!H2)</f>
        <v>0.99</v>
      </c>
    </row>
    <row r="96" spans="2:9" ht="15" customHeight="1">
      <c r="B96" s="381">
        <f>B91+1</f>
        <v>68</v>
      </c>
      <c r="C96" s="382" t="s">
        <v>437</v>
      </c>
      <c r="D96" s="291"/>
      <c r="E96" s="292"/>
      <c r="F96" s="292"/>
      <c r="G96" s="292"/>
      <c r="H96" s="113" t="s">
        <v>434</v>
      </c>
      <c r="I96" s="23">
        <f>INDEX('Values DHW'!D3:D7,'Values DHW'!I2)</f>
        <v>0</v>
      </c>
    </row>
    <row r="97" spans="2:9" ht="15" customHeight="1">
      <c r="B97" s="365"/>
      <c r="C97" s="368"/>
      <c r="D97" s="288"/>
      <c r="E97" s="289"/>
      <c r="F97" s="169"/>
      <c r="H97" s="174" t="s">
        <v>417</v>
      </c>
      <c r="I97" s="24">
        <f>INDEX('Values DHW'!E3:E7,'Values DHW'!I2)</f>
        <v>0</v>
      </c>
    </row>
    <row r="98" spans="2:9" ht="15" customHeight="1">
      <c r="B98" s="365"/>
      <c r="C98" s="368"/>
      <c r="D98" s="288"/>
      <c r="E98" s="289"/>
      <c r="F98" s="169"/>
      <c r="H98" s="172" t="s">
        <v>418</v>
      </c>
      <c r="I98" s="24">
        <f>INDEX('Values DHW'!F3:F7,'Values DHW'!I2)</f>
        <v>0</v>
      </c>
    </row>
    <row r="99" spans="2:9" ht="15" customHeight="1" thickBot="1">
      <c r="B99" s="359"/>
      <c r="C99" s="383"/>
      <c r="D99" s="288"/>
      <c r="E99" s="289"/>
      <c r="F99" s="169"/>
      <c r="H99" s="172" t="s">
        <v>419</v>
      </c>
      <c r="I99" s="24">
        <f>INDEX('Values DHW'!G3:G7,'Values DHW'!I2)</f>
        <v>0</v>
      </c>
    </row>
    <row r="100" spans="2:9" ht="15.75">
      <c r="B100" s="42">
        <f>B96+1</f>
        <v>69</v>
      </c>
      <c r="C100" s="351" t="s">
        <v>209</v>
      </c>
      <c r="D100" s="316"/>
      <c r="E100" s="316"/>
      <c r="F100" s="316"/>
      <c r="G100" s="316"/>
      <c r="H100" s="316"/>
      <c r="I100" s="317"/>
    </row>
    <row r="101" spans="2:10" s="114" customFormat="1" ht="15.75">
      <c r="B101" s="331">
        <f>B100+1</f>
        <v>70</v>
      </c>
      <c r="C101" s="115" t="s">
        <v>62</v>
      </c>
      <c r="D101" s="116" t="s">
        <v>233</v>
      </c>
      <c r="E101" s="117"/>
      <c r="F101" s="117"/>
      <c r="G101" s="117"/>
      <c r="H101" s="117"/>
      <c r="I101" s="118"/>
      <c r="J101" s="327" t="s">
        <v>231</v>
      </c>
    </row>
    <row r="102" spans="2:10" ht="15" customHeight="1">
      <c r="B102" s="333"/>
      <c r="C102" s="119"/>
      <c r="D102" s="120" t="s">
        <v>98</v>
      </c>
      <c r="E102" s="211">
        <f>1-(E8+273.15)/(E7+273.15)</f>
        <v>0.07139214686384499</v>
      </c>
      <c r="F102" s="34"/>
      <c r="G102" s="119"/>
      <c r="H102" s="121" t="s">
        <v>102</v>
      </c>
      <c r="I102" s="11">
        <f>E102</f>
        <v>0.07139214686384499</v>
      </c>
      <c r="J102" s="389"/>
    </row>
    <row r="103" spans="2:10" ht="15.75">
      <c r="B103" s="331">
        <f>B101+1</f>
        <v>71</v>
      </c>
      <c r="C103" s="122" t="s">
        <v>64</v>
      </c>
      <c r="D103" s="123" t="s">
        <v>234</v>
      </c>
      <c r="E103" s="109"/>
      <c r="F103" s="109"/>
      <c r="G103" s="109"/>
      <c r="H103" s="124"/>
      <c r="I103" s="125"/>
      <c r="J103" s="389"/>
    </row>
    <row r="104" spans="2:10" ht="15.75">
      <c r="B104" s="333"/>
      <c r="C104" s="126"/>
      <c r="D104" s="127" t="s">
        <v>63</v>
      </c>
      <c r="E104" s="210">
        <f>I73</f>
        <v>10870.05911200412</v>
      </c>
      <c r="F104" s="213">
        <f>E102</f>
        <v>0.07139214686384499</v>
      </c>
      <c r="G104" s="126"/>
      <c r="H104" s="128" t="s">
        <v>103</v>
      </c>
      <c r="I104" s="11">
        <f>I73*I102</f>
        <v>776.0368565428746</v>
      </c>
      <c r="J104" s="389"/>
    </row>
    <row r="105" spans="2:16" ht="15.75">
      <c r="B105" s="331">
        <f>B103+1</f>
        <v>72</v>
      </c>
      <c r="C105" s="122" t="s">
        <v>146</v>
      </c>
      <c r="D105" s="129" t="s">
        <v>376</v>
      </c>
      <c r="E105" s="109"/>
      <c r="F105" s="109"/>
      <c r="G105" s="109"/>
      <c r="H105" s="124"/>
      <c r="I105" s="125"/>
      <c r="J105" s="327" t="s">
        <v>232</v>
      </c>
      <c r="K105" s="153"/>
      <c r="L105" s="153"/>
      <c r="M105" s="153"/>
      <c r="N105" s="153"/>
      <c r="O105" s="153"/>
      <c r="P105" s="153"/>
    </row>
    <row r="106" spans="2:16" ht="15.75">
      <c r="B106" s="333"/>
      <c r="C106" s="126"/>
      <c r="D106" s="147" t="s">
        <v>150</v>
      </c>
      <c r="E106" s="209">
        <f>IF(E7=0,"",((((I91-E7)-(I92-E7))/LN((I91-E7)/(I92-E7))))/2)</f>
        <v>1.5416950271092522</v>
      </c>
      <c r="F106" s="212">
        <f>E7</f>
        <v>21</v>
      </c>
      <c r="G106" s="126"/>
      <c r="H106" s="149" t="s">
        <v>151</v>
      </c>
      <c r="I106" s="11">
        <f>IF(E106="","",E106+F106)</f>
        <v>22.541695027109252</v>
      </c>
      <c r="J106" s="389"/>
      <c r="K106" s="153"/>
      <c r="L106" s="153"/>
      <c r="M106" s="153"/>
      <c r="N106" s="153"/>
      <c r="O106" s="153"/>
      <c r="P106" s="153"/>
    </row>
    <row r="107" spans="2:16" s="114" customFormat="1" ht="15.75">
      <c r="B107" s="331">
        <f>B105+1</f>
        <v>73</v>
      </c>
      <c r="C107" s="84" t="s">
        <v>149</v>
      </c>
      <c r="D107" s="112" t="s">
        <v>377</v>
      </c>
      <c r="E107" s="85"/>
      <c r="F107" s="85"/>
      <c r="G107" s="85"/>
      <c r="H107" s="146"/>
      <c r="I107" s="118"/>
      <c r="J107" s="389"/>
      <c r="K107" s="220"/>
      <c r="L107" s="220"/>
      <c r="M107" s="220"/>
      <c r="N107" s="220"/>
      <c r="O107" s="220"/>
      <c r="P107" s="220"/>
    </row>
    <row r="108" spans="2:16" ht="15" customHeight="1">
      <c r="B108" s="333"/>
      <c r="C108" s="119"/>
      <c r="D108" s="120" t="s">
        <v>378</v>
      </c>
      <c r="E108" s="139">
        <f>IF(I106="","",1-(E8+273.15)/(I106+273.15))</f>
        <v>0.07623377797283959</v>
      </c>
      <c r="F108" s="34"/>
      <c r="G108" s="119"/>
      <c r="H108" s="121" t="s">
        <v>153</v>
      </c>
      <c r="I108" s="11">
        <f>E108</f>
        <v>0.07623377797283959</v>
      </c>
      <c r="J108" s="389"/>
      <c r="K108" s="153"/>
      <c r="L108" s="153"/>
      <c r="M108" s="153"/>
      <c r="N108" s="153"/>
      <c r="O108" s="153"/>
      <c r="P108" s="153"/>
    </row>
    <row r="109" spans="2:16" ht="15.75">
      <c r="B109" s="331">
        <f>B107+1</f>
        <v>74</v>
      </c>
      <c r="C109" s="122" t="s">
        <v>147</v>
      </c>
      <c r="D109" s="123" t="s">
        <v>239</v>
      </c>
      <c r="E109" s="109"/>
      <c r="F109" s="109"/>
      <c r="G109" s="109"/>
      <c r="H109" s="124"/>
      <c r="I109" s="125"/>
      <c r="J109" s="390"/>
      <c r="K109" s="153"/>
      <c r="L109" s="153"/>
      <c r="M109" s="153"/>
      <c r="N109" s="153"/>
      <c r="O109" s="153"/>
      <c r="P109" s="153"/>
    </row>
    <row r="110" spans="2:16" ht="15.75">
      <c r="B110" s="333"/>
      <c r="C110" s="126"/>
      <c r="D110" s="127" t="s">
        <v>148</v>
      </c>
      <c r="E110" s="145">
        <f>I73</f>
        <v>10870.05911200412</v>
      </c>
      <c r="F110" s="139">
        <f>I108</f>
        <v>0.07623377797283959</v>
      </c>
      <c r="G110" s="126"/>
      <c r="H110" s="128" t="s">
        <v>152</v>
      </c>
      <c r="I110" s="11">
        <f>IF(E110=0,"",E110*F110)</f>
        <v>828.665672896164</v>
      </c>
      <c r="J110" s="390"/>
      <c r="K110" s="153"/>
      <c r="L110" s="153"/>
      <c r="M110" s="153"/>
      <c r="N110" s="153"/>
      <c r="O110" s="153"/>
      <c r="P110" s="153"/>
    </row>
    <row r="111" spans="2:16" ht="15.75">
      <c r="B111" s="331">
        <f>B109+1</f>
        <v>75</v>
      </c>
      <c r="C111" s="122" t="s">
        <v>235</v>
      </c>
      <c r="D111" s="129" t="s">
        <v>241</v>
      </c>
      <c r="E111" s="109"/>
      <c r="F111" s="109"/>
      <c r="G111" s="109"/>
      <c r="H111" s="124"/>
      <c r="I111" s="125"/>
      <c r="J111" s="327" t="s">
        <v>240</v>
      </c>
      <c r="K111" s="153"/>
      <c r="L111" s="153"/>
      <c r="M111" s="153"/>
      <c r="N111" s="153"/>
      <c r="O111" s="153"/>
      <c r="P111" s="153"/>
    </row>
    <row r="112" spans="2:16" ht="15.75">
      <c r="B112" s="333"/>
      <c r="C112" s="126"/>
      <c r="D112" s="131" t="s">
        <v>340</v>
      </c>
      <c r="E112" s="145">
        <f>I73</f>
        <v>10870.05911200412</v>
      </c>
      <c r="F112" s="139">
        <f>IF(I95=0,"",(1/I95-1))</f>
        <v>0.010101010101010166</v>
      </c>
      <c r="G112" s="126"/>
      <c r="H112" s="196" t="s">
        <v>242</v>
      </c>
      <c r="I112" s="11">
        <f>IF(E112=0,"",E112*F112)</f>
        <v>109.79857688893122</v>
      </c>
      <c r="J112" s="389"/>
      <c r="K112" s="153"/>
      <c r="L112" s="153"/>
      <c r="M112" s="153"/>
      <c r="N112" s="153"/>
      <c r="O112" s="153"/>
      <c r="P112" s="153"/>
    </row>
    <row r="113" spans="2:10" s="153" customFormat="1" ht="15.75">
      <c r="B113" s="334">
        <f>B111+1</f>
        <v>76</v>
      </c>
      <c r="C113" s="122" t="s">
        <v>236</v>
      </c>
      <c r="D113" s="123" t="s">
        <v>247</v>
      </c>
      <c r="E113" s="150"/>
      <c r="F113" s="150"/>
      <c r="G113" s="150"/>
      <c r="H113" s="151"/>
      <c r="I113" s="152"/>
      <c r="J113" s="389"/>
    </row>
    <row r="114" spans="2:10" s="153" customFormat="1" ht="15.75">
      <c r="B114" s="335"/>
      <c r="C114" s="154"/>
      <c r="D114" s="134" t="s">
        <v>237</v>
      </c>
      <c r="E114" s="155">
        <f>I93/1000</f>
        <v>0.0002</v>
      </c>
      <c r="F114" s="156">
        <f>I73</f>
        <v>10870.05911200412</v>
      </c>
      <c r="G114" s="154"/>
      <c r="H114" s="197" t="s">
        <v>238</v>
      </c>
      <c r="I114" s="157">
        <f>E114*F114</f>
        <v>2.1740118224008245</v>
      </c>
      <c r="J114" s="389"/>
    </row>
    <row r="115" spans="2:10" s="153" customFormat="1" ht="15.75">
      <c r="B115" s="334">
        <f>B113+1</f>
        <v>77</v>
      </c>
      <c r="C115" s="122" t="s">
        <v>354</v>
      </c>
      <c r="D115" s="129" t="s">
        <v>265</v>
      </c>
      <c r="E115" s="150"/>
      <c r="F115" s="150"/>
      <c r="G115" s="150"/>
      <c r="H115" s="151"/>
      <c r="I115" s="152"/>
      <c r="J115" s="389"/>
    </row>
    <row r="116" spans="2:10" s="153" customFormat="1" ht="15.75">
      <c r="B116" s="335"/>
      <c r="C116" s="154"/>
      <c r="D116" s="131" t="s">
        <v>65</v>
      </c>
      <c r="E116" s="155">
        <f>IF(I73=0,"",(I73+I112)/(I91-I92))</f>
        <v>1829.9762814821754</v>
      </c>
      <c r="F116" s="156">
        <f>(I91-I92)-(E8+273.15)*LN((I91+273.15)/(I92+273.15))</f>
        <v>0.5029169431018969</v>
      </c>
      <c r="G116" s="154"/>
      <c r="H116" s="133" t="s">
        <v>104</v>
      </c>
      <c r="I116" s="157">
        <f>IF(I73=0,"",E116*F116)</f>
        <v>920.3260774319922</v>
      </c>
      <c r="J116" s="389"/>
    </row>
    <row r="117" spans="2:16" ht="15.75">
      <c r="B117" s="331">
        <f>B115+1</f>
        <v>78</v>
      </c>
      <c r="C117" s="122" t="s">
        <v>243</v>
      </c>
      <c r="D117" s="129" t="s">
        <v>244</v>
      </c>
      <c r="E117" s="109"/>
      <c r="F117" s="109"/>
      <c r="G117" s="109"/>
      <c r="H117" s="124"/>
      <c r="I117" s="125"/>
      <c r="J117" s="327" t="s">
        <v>250</v>
      </c>
      <c r="K117" s="153"/>
      <c r="L117" s="153"/>
      <c r="M117" s="153"/>
      <c r="N117" s="216"/>
      <c r="O117" s="218"/>
      <c r="P117" s="153"/>
    </row>
    <row r="118" spans="2:16" ht="15.75">
      <c r="B118" s="333"/>
      <c r="C118" s="126"/>
      <c r="D118" s="131" t="s">
        <v>257</v>
      </c>
      <c r="E118" s="145">
        <f>IF(I73=0,"",I73+I112)</f>
        <v>10979.857688893053</v>
      </c>
      <c r="F118" s="217">
        <f>IF(I89=1,0,IF(I89=0,"",(1/I89-1)))</f>
        <v>0.041232819658475695</v>
      </c>
      <c r="G118" s="126"/>
      <c r="H118" s="196" t="s">
        <v>256</v>
      </c>
      <c r="I118" s="11">
        <f>IF(E118="","",E118*F118)</f>
        <v>452.73049196185497</v>
      </c>
      <c r="J118" s="328"/>
      <c r="K118" s="153"/>
      <c r="L118" s="153"/>
      <c r="M118" s="153"/>
      <c r="N118" s="216"/>
      <c r="O118" s="153"/>
      <c r="P118" s="153"/>
    </row>
    <row r="119" spans="2:14" s="153" customFormat="1" ht="15.75">
      <c r="B119" s="334">
        <f>B117+1</f>
        <v>79</v>
      </c>
      <c r="C119" s="122" t="s">
        <v>245</v>
      </c>
      <c r="D119" s="123" t="s">
        <v>248</v>
      </c>
      <c r="E119" s="150"/>
      <c r="F119" s="150"/>
      <c r="G119" s="150"/>
      <c r="H119" s="151"/>
      <c r="I119" s="152"/>
      <c r="J119" s="328"/>
      <c r="N119" s="216"/>
    </row>
    <row r="120" spans="2:14" s="153" customFormat="1" ht="15.75">
      <c r="B120" s="335"/>
      <c r="C120" s="154"/>
      <c r="D120" s="134" t="s">
        <v>249</v>
      </c>
      <c r="E120" s="155">
        <f>I90/1000</f>
        <v>0.1641189452565205</v>
      </c>
      <c r="F120" s="156">
        <f>IF(I73=0,"",I73+I112)</f>
        <v>10979.857688893053</v>
      </c>
      <c r="G120" s="154"/>
      <c r="H120" s="197" t="s">
        <v>246</v>
      </c>
      <c r="I120" s="157">
        <f>IF(E120=0,0,E120*F120)</f>
        <v>1802.0026629678246</v>
      </c>
      <c r="J120" s="328"/>
      <c r="N120" s="218"/>
    </row>
    <row r="121" spans="2:14" s="153" customFormat="1" ht="15.75">
      <c r="B121" s="334">
        <f>B119+1</f>
        <v>80</v>
      </c>
      <c r="C121" s="122" t="s">
        <v>374</v>
      </c>
      <c r="D121" s="129" t="s">
        <v>389</v>
      </c>
      <c r="E121" s="150"/>
      <c r="F121" s="150"/>
      <c r="G121" s="150"/>
      <c r="H121" s="151"/>
      <c r="I121" s="152"/>
      <c r="J121" s="329"/>
      <c r="N121" s="218"/>
    </row>
    <row r="122" spans="2:10" s="153" customFormat="1" ht="15.75">
      <c r="B122" s="335"/>
      <c r="C122" s="154"/>
      <c r="D122" s="131" t="s">
        <v>261</v>
      </c>
      <c r="E122" s="155">
        <f>IF(I118="","",(I118)/('Values Distribution'!E33))</f>
        <v>90.546098392371</v>
      </c>
      <c r="F122" s="156">
        <f>('Values Distribution'!E33)-(E8+273.15)*LN(('Values Distribution'!E24+273.15)/('Values Distribution'!E24-'Values Distribution'!E33+273.15))</f>
        <v>0.5315542031565323</v>
      </c>
      <c r="G122" s="154"/>
      <c r="H122" s="133" t="s">
        <v>262</v>
      </c>
      <c r="I122" s="157">
        <f>IF(F122=0,0,E122*F122)</f>
        <v>48.13015917988974</v>
      </c>
      <c r="J122" s="329"/>
    </row>
    <row r="123" spans="2:16" ht="15.75">
      <c r="B123" s="331">
        <f>B121+1</f>
        <v>81</v>
      </c>
      <c r="C123" s="122" t="s">
        <v>252</v>
      </c>
      <c r="D123" s="129" t="s">
        <v>255</v>
      </c>
      <c r="E123" s="109"/>
      <c r="F123" s="109"/>
      <c r="G123" s="109"/>
      <c r="H123" s="124"/>
      <c r="I123" s="125"/>
      <c r="J123" s="327" t="s">
        <v>251</v>
      </c>
      <c r="K123" s="153"/>
      <c r="L123" s="153"/>
      <c r="M123" s="153"/>
      <c r="N123" s="153"/>
      <c r="O123" s="153"/>
      <c r="P123" s="153"/>
    </row>
    <row r="124" spans="2:16" ht="15.75">
      <c r="B124" s="333"/>
      <c r="C124" s="126"/>
      <c r="D124" s="131" t="s">
        <v>338</v>
      </c>
      <c r="E124" s="214">
        <f>IF(I73=0,"",I73+I112+I118)</f>
        <v>11432.588180854907</v>
      </c>
      <c r="F124" s="210">
        <f>IF(I84=0,"",((1/I84)-1))</f>
        <v>0</v>
      </c>
      <c r="G124" s="126"/>
      <c r="H124" s="196" t="s">
        <v>254</v>
      </c>
      <c r="I124" s="11">
        <f>IF(E124="","",E124*F124)</f>
        <v>0</v>
      </c>
      <c r="J124" s="328"/>
      <c r="K124" s="153"/>
      <c r="L124" s="153"/>
      <c r="M124" s="153"/>
      <c r="N124" s="153"/>
      <c r="O124" s="153"/>
      <c r="P124" s="153"/>
    </row>
    <row r="125" spans="2:10" s="153" customFormat="1" ht="15.75">
      <c r="B125" s="334">
        <f>B123+1</f>
        <v>82</v>
      </c>
      <c r="C125" s="122" t="s">
        <v>253</v>
      </c>
      <c r="D125" s="123" t="s">
        <v>260</v>
      </c>
      <c r="E125" s="150"/>
      <c r="F125" s="150"/>
      <c r="G125" s="150"/>
      <c r="H125" s="151"/>
      <c r="I125" s="152"/>
      <c r="J125" s="328"/>
    </row>
    <row r="126" spans="2:14" s="153" customFormat="1" ht="15.75">
      <c r="B126" s="335"/>
      <c r="C126" s="154"/>
      <c r="D126" s="134" t="s">
        <v>258</v>
      </c>
      <c r="E126" s="297">
        <f>I85/1000</f>
        <v>0</v>
      </c>
      <c r="F126" s="156">
        <f>IF(I73=0,"",I73+I112+I118)</f>
        <v>11432.588180854907</v>
      </c>
      <c r="G126" s="154"/>
      <c r="H126" s="197" t="s">
        <v>259</v>
      </c>
      <c r="I126" s="157">
        <f>IF(E126=0,0,E126*F126)</f>
        <v>0</v>
      </c>
      <c r="J126" s="328"/>
      <c r="N126" s="219"/>
    </row>
    <row r="127" spans="2:14" s="153" customFormat="1" ht="15.75">
      <c r="B127" s="334">
        <f>B125+1</f>
        <v>83</v>
      </c>
      <c r="C127" s="122" t="s">
        <v>353</v>
      </c>
      <c r="D127" s="129" t="s">
        <v>393</v>
      </c>
      <c r="E127" s="150"/>
      <c r="F127" s="150"/>
      <c r="G127" s="150"/>
      <c r="H127" s="151"/>
      <c r="I127" s="152"/>
      <c r="J127" s="329"/>
      <c r="N127" s="219"/>
    </row>
    <row r="128" spans="2:10" s="153" customFormat="1" ht="15.75">
      <c r="B128" s="335"/>
      <c r="C128" s="154"/>
      <c r="D128" s="131" t="s">
        <v>263</v>
      </c>
      <c r="E128" s="297">
        <f>IF('Values Storage'!B11=0,"",(I124)/'Values Storage'!B11)</f>
      </c>
      <c r="F128" s="156">
        <f>('Values Storage'!B11)-(E8+273.15)*LN(('Values Distribution'!E24+273.15+'Values Distribution'!E33)/('Values Distribution'!E24+273.15+'Values Distribution'!E33-'Values Storage'!B11))</f>
        <v>0</v>
      </c>
      <c r="G128" s="154"/>
      <c r="H128" s="133" t="s">
        <v>264</v>
      </c>
      <c r="I128" s="157">
        <f>IF('Values Storage'!B11=0,0,E128*F128)</f>
        <v>0</v>
      </c>
      <c r="J128" s="329"/>
    </row>
    <row r="129" spans="2:16" ht="15.75">
      <c r="B129" s="331">
        <f>B127+1</f>
        <v>84</v>
      </c>
      <c r="C129" s="109" t="s">
        <v>270</v>
      </c>
      <c r="D129" s="129" t="s">
        <v>384</v>
      </c>
      <c r="E129" s="109"/>
      <c r="F129" s="109"/>
      <c r="G129" s="109"/>
      <c r="H129" s="124"/>
      <c r="I129" s="125"/>
      <c r="J129" s="327" t="s">
        <v>267</v>
      </c>
      <c r="K129" s="153"/>
      <c r="L129" s="153"/>
      <c r="M129" s="153"/>
      <c r="N129" s="153"/>
      <c r="O129" s="153"/>
      <c r="P129" s="153"/>
    </row>
    <row r="130" spans="2:16" ht="15.75">
      <c r="B130" s="333"/>
      <c r="C130" s="130"/>
      <c r="D130" s="131" t="s">
        <v>101</v>
      </c>
      <c r="E130" s="295">
        <f>IF(I73=0,"",I73+I112+I118+I124)</f>
        <v>11432.588180854907</v>
      </c>
      <c r="F130" s="296">
        <f>1-I86</f>
        <v>1</v>
      </c>
      <c r="G130" s="139">
        <f>I77</f>
        <v>0.89</v>
      </c>
      <c r="H130" s="133" t="s">
        <v>105</v>
      </c>
      <c r="I130" s="11">
        <f>IF(G130=0,"",E130*F130/G130)</f>
        <v>12845.604697589784</v>
      </c>
      <c r="J130" s="328"/>
      <c r="K130" s="153"/>
      <c r="L130" s="153"/>
      <c r="M130" s="153"/>
      <c r="N130" s="153"/>
      <c r="O130" s="153"/>
      <c r="P130" s="153"/>
    </row>
    <row r="131" spans="2:10" s="153" customFormat="1" ht="15.75">
      <c r="B131" s="334">
        <f>B129+1</f>
        <v>85</v>
      </c>
      <c r="C131" s="122" t="s">
        <v>268</v>
      </c>
      <c r="D131" s="123" t="s">
        <v>451</v>
      </c>
      <c r="E131" s="215"/>
      <c r="F131" s="150"/>
      <c r="G131" s="150"/>
      <c r="H131" s="151"/>
      <c r="I131" s="152"/>
      <c r="J131" s="328"/>
    </row>
    <row r="132" spans="2:10" s="153" customFormat="1" ht="15.75">
      <c r="B132" s="335"/>
      <c r="C132" s="154"/>
      <c r="D132" s="134" t="s">
        <v>452</v>
      </c>
      <c r="E132" s="155">
        <f>I81/1000</f>
        <v>1E-05</v>
      </c>
      <c r="F132" s="156">
        <f>IF(I73=0,"",I73+I112+I118+I124)</f>
        <v>11432.588180854907</v>
      </c>
      <c r="G132" s="310">
        <f>I82</f>
        <v>0</v>
      </c>
      <c r="H132" s="197" t="s">
        <v>453</v>
      </c>
      <c r="I132" s="157">
        <f>IF(E132=0,0,E132*F132+G132)</f>
        <v>0.11432588180854908</v>
      </c>
      <c r="J132" s="328"/>
    </row>
    <row r="133" spans="2:16" ht="15.75">
      <c r="B133" s="331">
        <f>B131+1</f>
        <v>86</v>
      </c>
      <c r="C133" s="109" t="s">
        <v>269</v>
      </c>
      <c r="D133" s="123" t="s">
        <v>266</v>
      </c>
      <c r="E133" s="109"/>
      <c r="F133" s="109"/>
      <c r="G133" s="109"/>
      <c r="H133" s="124"/>
      <c r="I133" s="125"/>
      <c r="J133" s="329"/>
      <c r="K133" s="153"/>
      <c r="L133" s="153"/>
      <c r="M133" s="153"/>
      <c r="N133" s="153"/>
      <c r="O133" s="153"/>
      <c r="P133" s="153"/>
    </row>
    <row r="134" spans="2:10" ht="15.75">
      <c r="B134" s="333"/>
      <c r="C134" s="130"/>
      <c r="D134" s="134" t="s">
        <v>108</v>
      </c>
      <c r="E134" s="298">
        <f>I130</f>
        <v>12845.604697589784</v>
      </c>
      <c r="F134" s="139">
        <f>I79</f>
        <v>0.21</v>
      </c>
      <c r="G134" s="130"/>
      <c r="H134" s="135" t="s">
        <v>109</v>
      </c>
      <c r="I134" s="11">
        <f>IF(F134=0,"",E134*F134)</f>
        <v>2697.5769864938547</v>
      </c>
      <c r="J134" s="329"/>
    </row>
    <row r="135" spans="2:10" ht="15.75">
      <c r="B135" s="331">
        <f>B133+1</f>
        <v>87</v>
      </c>
      <c r="C135" s="126" t="s">
        <v>423</v>
      </c>
      <c r="D135" s="116" t="s">
        <v>424</v>
      </c>
      <c r="E135" s="141"/>
      <c r="F135" s="293"/>
      <c r="G135" s="126"/>
      <c r="H135" s="128"/>
      <c r="I135" s="195"/>
      <c r="J135" s="329"/>
    </row>
    <row r="136" spans="2:10" ht="15.75">
      <c r="B136" s="333"/>
      <c r="C136" s="126"/>
      <c r="D136" s="116" t="s">
        <v>421</v>
      </c>
      <c r="E136" s="260">
        <f>1/86400*INDEX('Values DHW'!D3:D7,'Values DHW'!I2)*4.2*1000</f>
        <v>0</v>
      </c>
      <c r="F136" s="261">
        <f>(INDEX('Values DHW'!C3:C7,'Values DHW'!I2)-INDEX('Values DHW'!B3:B7,'Values DHW'!I2))*E58</f>
        <v>0</v>
      </c>
      <c r="G136" s="294">
        <f>I97</f>
        <v>0</v>
      </c>
      <c r="H136" s="128" t="s">
        <v>422</v>
      </c>
      <c r="I136" s="195">
        <f>IF(G136=0,0,E136*F136/G136)</f>
        <v>0</v>
      </c>
      <c r="J136" s="329"/>
    </row>
    <row r="137" spans="2:10" ht="15.75">
      <c r="B137" s="331">
        <f>B135+1</f>
        <v>88</v>
      </c>
      <c r="C137" s="109" t="s">
        <v>66</v>
      </c>
      <c r="D137" s="123" t="s">
        <v>425</v>
      </c>
      <c r="E137" s="109"/>
      <c r="F137" s="109"/>
      <c r="G137" s="109"/>
      <c r="H137" s="124"/>
      <c r="I137" s="125"/>
      <c r="J137" s="330"/>
    </row>
    <row r="138" spans="2:10" ht="15.75">
      <c r="B138" s="333"/>
      <c r="C138" s="130"/>
      <c r="D138" s="134" t="s">
        <v>67</v>
      </c>
      <c r="E138" s="203">
        <f>I67+I70</f>
        <v>6634.5814</v>
      </c>
      <c r="F138" s="304">
        <f>IF(I136="",0,I136*I99)</f>
        <v>0</v>
      </c>
      <c r="G138" s="130"/>
      <c r="H138" s="135" t="s">
        <v>106</v>
      </c>
      <c r="I138" s="11">
        <f>E138+F138</f>
        <v>6634.5814</v>
      </c>
      <c r="J138" s="330"/>
    </row>
    <row r="139" spans="2:10" ht="15.75">
      <c r="B139" s="331">
        <f>B137+1</f>
        <v>89</v>
      </c>
      <c r="C139" s="109" t="s">
        <v>271</v>
      </c>
      <c r="D139" s="127" t="s">
        <v>435</v>
      </c>
      <c r="E139" s="145"/>
      <c r="F139" s="198"/>
      <c r="G139" s="126"/>
      <c r="H139" s="128"/>
      <c r="I139" s="195"/>
      <c r="J139" s="327" t="s">
        <v>410</v>
      </c>
    </row>
    <row r="140" spans="2:10" ht="15.75">
      <c r="B140" s="332"/>
      <c r="C140" s="126"/>
      <c r="D140" s="127" t="s">
        <v>273</v>
      </c>
      <c r="E140" s="148">
        <f>IF(I78=0,"",I130*I78)</f>
        <v>25691.20939517957</v>
      </c>
      <c r="F140" s="299">
        <f>(I67+I70+I114+I120+I126+I132)*'General Values'!B21</f>
        <v>25316.6172020161</v>
      </c>
      <c r="G140" s="304">
        <f>IF(I136="",0,I136*I98)</f>
        <v>0</v>
      </c>
      <c r="H140" s="128" t="s">
        <v>272</v>
      </c>
      <c r="I140" s="195">
        <f>IF(I73=0,"",E140+F140+G140)</f>
        <v>51007.82659719567</v>
      </c>
      <c r="J140" s="328"/>
    </row>
    <row r="141" spans="2:10" ht="15.75">
      <c r="B141" s="331">
        <f>B139+1</f>
        <v>90</v>
      </c>
      <c r="C141" s="109" t="s">
        <v>274</v>
      </c>
      <c r="D141" s="123" t="s">
        <v>279</v>
      </c>
      <c r="E141" s="199"/>
      <c r="F141" s="200"/>
      <c r="G141" s="109"/>
      <c r="H141" s="201"/>
      <c r="I141" s="5"/>
      <c r="J141" s="328"/>
    </row>
    <row r="142" spans="2:11" ht="15.75">
      <c r="B142" s="332"/>
      <c r="C142" s="130"/>
      <c r="D142" s="127" t="s">
        <v>275</v>
      </c>
      <c r="E142" s="203">
        <f>IF(I83=0,"",I130*I83)</f>
      </c>
      <c r="F142" s="132"/>
      <c r="G142" s="130"/>
      <c r="H142" s="128" t="s">
        <v>276</v>
      </c>
      <c r="I142" s="11">
        <f>IF(I83=0,"",E142+F142)</f>
      </c>
      <c r="J142" s="328"/>
      <c r="K142" s="244"/>
    </row>
    <row r="143" spans="1:10" ht="15.75">
      <c r="A143" s="153"/>
      <c r="B143" s="334">
        <f>B141+1</f>
        <v>91</v>
      </c>
      <c r="C143" s="150" t="s">
        <v>69</v>
      </c>
      <c r="D143" s="123" t="s">
        <v>436</v>
      </c>
      <c r="E143" s="150"/>
      <c r="F143" s="150"/>
      <c r="G143" s="150"/>
      <c r="H143" s="151"/>
      <c r="I143" s="152"/>
      <c r="J143" s="329"/>
    </row>
    <row r="144" spans="1:10" ht="16.5" thickBot="1">
      <c r="A144" s="153"/>
      <c r="B144" s="400"/>
      <c r="C144" s="237"/>
      <c r="D144" s="238" t="s">
        <v>68</v>
      </c>
      <c r="E144" s="239">
        <f>IF(I130="",0,I130*I78*I79+F140*1)</f>
        <v>30711.771175003807</v>
      </c>
      <c r="F144" s="305">
        <f>IF(I136="",0,I136*I98*I99)</f>
        <v>0</v>
      </c>
      <c r="G144" s="306">
        <f>IF(F142=0,0,I142*1)</f>
        <v>0</v>
      </c>
      <c r="H144" s="240" t="s">
        <v>107</v>
      </c>
      <c r="I144" s="241">
        <f>E144+F144+G144</f>
        <v>30711.771175003807</v>
      </c>
      <c r="J144" s="329"/>
    </row>
    <row r="145" ht="14.25">
      <c r="C145" s="136" t="s">
        <v>140</v>
      </c>
    </row>
    <row r="146" ht="13.5" thickBot="1"/>
    <row r="147" spans="2:9" ht="12.75">
      <c r="B147" s="279"/>
      <c r="C147" s="280" t="s">
        <v>405</v>
      </c>
      <c r="D147" s="280"/>
      <c r="E147" s="281"/>
      <c r="F147" s="281"/>
      <c r="G147" s="282" t="s">
        <v>398</v>
      </c>
      <c r="H147" s="282" t="s">
        <v>400</v>
      </c>
      <c r="I147" s="283" t="s">
        <v>399</v>
      </c>
    </row>
    <row r="148" spans="2:9" ht="12.75">
      <c r="B148" s="273"/>
      <c r="C148" s="127" t="s">
        <v>401</v>
      </c>
      <c r="D148" s="126"/>
      <c r="E148" s="126"/>
      <c r="F148" s="126"/>
      <c r="G148" s="286">
        <f>'General Values'!C41</f>
        <v>62692.61252519155</v>
      </c>
      <c r="H148" s="284">
        <f>IF(E6=0,0,G148/E6)</f>
        <v>28.466234942307786</v>
      </c>
      <c r="I148" s="285">
        <f>IF(E5=0,0,G148/E5)</f>
        <v>9.109186909295742</v>
      </c>
    </row>
    <row r="149" spans="2:9" ht="12.75">
      <c r="B149" s="273"/>
      <c r="C149" s="127" t="s">
        <v>402</v>
      </c>
      <c r="D149" s="126"/>
      <c r="E149" s="126"/>
      <c r="F149" s="126"/>
      <c r="G149" s="286">
        <f>I73+'General Values'!C25+'General Values'!C26</f>
        <v>22554.845039999997</v>
      </c>
      <c r="H149" s="284">
        <f>IF(E6=0,0,G149/E6)</f>
        <v>10.241262760233386</v>
      </c>
      <c r="I149" s="285">
        <f>IF(E5=0,0,G149/E5)</f>
        <v>3.27720110717996</v>
      </c>
    </row>
    <row r="150" spans="2:9" ht="12.75">
      <c r="B150" s="273"/>
      <c r="C150" s="127" t="s">
        <v>403</v>
      </c>
      <c r="D150" s="126"/>
      <c r="E150" s="126"/>
      <c r="F150" s="126"/>
      <c r="G150" s="274">
        <f>IF('General Values'!J10=0,0,'General Values'!J16/'General Values'!J10)</f>
        <v>0.025268384949888142</v>
      </c>
      <c r="H150" s="126"/>
      <c r="I150" s="275"/>
    </row>
    <row r="151" spans="2:9" ht="13.5" thickBot="1">
      <c r="B151" s="276"/>
      <c r="C151" s="238" t="s">
        <v>404</v>
      </c>
      <c r="D151" s="83"/>
      <c r="E151" s="83"/>
      <c r="F151" s="83"/>
      <c r="G151" s="277">
        <f>IF('General Values'!J10=0,0,'General Values'!J14/'General Values'!J10)</f>
        <v>0.057019367335473775</v>
      </c>
      <c r="H151" s="83"/>
      <c r="I151" s="278"/>
    </row>
    <row r="152" ht="14.25">
      <c r="C152" s="136"/>
    </row>
    <row r="153" spans="2:9" s="204" customFormat="1" ht="31.5" customHeight="1">
      <c r="B153" s="394">
        <f>IF(E6*I94&lt;I73,"WARNING: Heating power demand is higher than the installed power! The system solution is
                   NOT sufficeint! Improve building envelope or use a more powerful system.","")</f>
      </c>
      <c r="C153" s="395"/>
      <c r="D153" s="395"/>
      <c r="E153" s="395"/>
      <c r="F153" s="395"/>
      <c r="G153" s="395"/>
      <c r="H153" s="395"/>
      <c r="I153" s="396"/>
    </row>
    <row r="154" spans="2:9" s="204" customFormat="1" ht="32.25" customHeight="1">
      <c r="B154" s="397">
        <f>IF(I80&lt;I91,"WARNING: Error in system design. Needed inlet temperature NOT supplied by generation. 
                  Change system design.","")</f>
      </c>
      <c r="C154" s="398"/>
      <c r="D154" s="398"/>
      <c r="E154" s="398"/>
      <c r="F154" s="398"/>
      <c r="G154" s="398"/>
      <c r="H154" s="398"/>
      <c r="I154" s="399"/>
    </row>
    <row r="155" spans="2:9" ht="15.75">
      <c r="B155" s="391">
        <f>IF(E73&lt;F73,"WARNING: Overheating, cooling needed. Apply solar protection, reduce internal loads!","")</f>
      </c>
      <c r="C155" s="392"/>
      <c r="D155" s="392"/>
      <c r="E155" s="392"/>
      <c r="F155" s="392"/>
      <c r="G155" s="392"/>
      <c r="H155" s="392"/>
      <c r="I155" s="393"/>
    </row>
    <row r="156" ht="12.75">
      <c r="I156" s="266" t="s">
        <v>359</v>
      </c>
    </row>
    <row r="158" ht="15.75">
      <c r="B158" s="208" t="s">
        <v>280</v>
      </c>
    </row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8" spans="1:3" ht="15">
      <c r="A188" s="190"/>
      <c r="C188" s="204" t="s">
        <v>281</v>
      </c>
    </row>
    <row r="216" ht="15">
      <c r="B216" s="204" t="s">
        <v>371</v>
      </c>
    </row>
    <row r="217" ht="15">
      <c r="B217" s="204"/>
    </row>
    <row r="218" ht="15">
      <c r="B218" s="204"/>
    </row>
    <row r="219" ht="15">
      <c r="B219" s="204"/>
    </row>
    <row r="220" ht="15">
      <c r="B220" s="204"/>
    </row>
    <row r="221" ht="15">
      <c r="B221" s="204"/>
    </row>
    <row r="222" ht="15">
      <c r="B222" s="204"/>
    </row>
    <row r="223" ht="15">
      <c r="B223" s="204"/>
    </row>
    <row r="224" ht="15">
      <c r="B224" s="204"/>
    </row>
    <row r="225" ht="15">
      <c r="B225" s="204"/>
    </row>
    <row r="226" ht="15">
      <c r="B226" s="204"/>
    </row>
    <row r="227" ht="15">
      <c r="B227" s="204"/>
    </row>
    <row r="228" ht="15">
      <c r="B228" s="204"/>
    </row>
    <row r="229" ht="15">
      <c r="B229" s="204"/>
    </row>
    <row r="230" ht="15">
      <c r="B230" s="204"/>
    </row>
    <row r="231" ht="15">
      <c r="B231" s="204"/>
    </row>
    <row r="232" ht="15">
      <c r="B232" s="204"/>
    </row>
    <row r="233" ht="15">
      <c r="B233" s="204"/>
    </row>
    <row r="234" ht="15">
      <c r="B234" s="204"/>
    </row>
    <row r="235" ht="15">
      <c r="B235" s="204"/>
    </row>
    <row r="236" ht="15">
      <c r="B236" s="204"/>
    </row>
    <row r="237" ht="15">
      <c r="B237" s="204"/>
    </row>
    <row r="238" ht="15">
      <c r="B238" s="204"/>
    </row>
    <row r="239" ht="15">
      <c r="B239" s="204"/>
    </row>
    <row r="240" ht="15">
      <c r="B240" s="204"/>
    </row>
    <row r="241" ht="15">
      <c r="B241" s="204"/>
    </row>
    <row r="242" ht="15">
      <c r="B242" s="204"/>
    </row>
    <row r="243" ht="15">
      <c r="B243" s="204"/>
    </row>
    <row r="244" ht="15">
      <c r="B244" s="204"/>
    </row>
    <row r="245" ht="15">
      <c r="B245" s="204" t="s">
        <v>351</v>
      </c>
    </row>
    <row r="246" ht="15">
      <c r="B246" s="204"/>
    </row>
    <row r="247" ht="15">
      <c r="B247" s="204"/>
    </row>
    <row r="248" ht="15">
      <c r="B248" s="204"/>
    </row>
    <row r="249" ht="15">
      <c r="B249" s="204"/>
    </row>
    <row r="250" ht="15">
      <c r="B250" s="204"/>
    </row>
    <row r="251" ht="15">
      <c r="B251" s="204"/>
    </row>
    <row r="252" ht="15">
      <c r="B252" s="204"/>
    </row>
    <row r="253" ht="15">
      <c r="B253" s="204"/>
    </row>
    <row r="254" ht="15">
      <c r="B254" s="204"/>
    </row>
    <row r="255" ht="15">
      <c r="B255" s="204"/>
    </row>
    <row r="256" ht="15">
      <c r="B256" s="204"/>
    </row>
    <row r="257" ht="15">
      <c r="B257" s="204"/>
    </row>
    <row r="258" ht="15">
      <c r="B258" s="204"/>
    </row>
    <row r="259" ht="15">
      <c r="B259" s="204"/>
    </row>
    <row r="260" ht="15">
      <c r="B260" s="204"/>
    </row>
    <row r="261" ht="15">
      <c r="B261" s="204"/>
    </row>
    <row r="262" ht="15">
      <c r="B262" s="204"/>
    </row>
    <row r="263" ht="15">
      <c r="B263" s="204"/>
    </row>
    <row r="264" ht="15">
      <c r="B264" s="204"/>
    </row>
    <row r="265" ht="15">
      <c r="B265" s="204"/>
    </row>
    <row r="266" ht="15">
      <c r="B266" s="204"/>
    </row>
    <row r="267" ht="15">
      <c r="B267" s="204"/>
    </row>
    <row r="268" ht="15">
      <c r="B268" s="204"/>
    </row>
    <row r="269" ht="15">
      <c r="B269" s="204"/>
    </row>
    <row r="270" ht="15">
      <c r="B270" s="204"/>
    </row>
    <row r="271" ht="15">
      <c r="B271" s="204"/>
    </row>
    <row r="272" ht="15">
      <c r="B272" s="204"/>
    </row>
    <row r="273" ht="15">
      <c r="B273" s="204"/>
    </row>
    <row r="274" ht="15">
      <c r="B274" s="204" t="s">
        <v>352</v>
      </c>
    </row>
    <row r="276" ht="12.75">
      <c r="B276" s="38" t="s">
        <v>141</v>
      </c>
    </row>
    <row r="277" spans="3:9" ht="12.75">
      <c r="C277" s="38" t="s">
        <v>121</v>
      </c>
      <c r="D277" s="38" t="s">
        <v>116</v>
      </c>
      <c r="G277" s="38" t="s">
        <v>125</v>
      </c>
      <c r="I277" s="38" t="s">
        <v>324</v>
      </c>
    </row>
    <row r="278" spans="3:9" ht="12.75">
      <c r="C278" s="38" t="s">
        <v>122</v>
      </c>
      <c r="D278" s="38" t="s">
        <v>117</v>
      </c>
      <c r="G278" s="38" t="s">
        <v>126</v>
      </c>
      <c r="I278" s="38" t="s">
        <v>388</v>
      </c>
    </row>
    <row r="279" spans="3:9" ht="12.75">
      <c r="C279" s="38" t="s">
        <v>130</v>
      </c>
      <c r="D279" s="38" t="s">
        <v>118</v>
      </c>
      <c r="G279" s="38" t="s">
        <v>127</v>
      </c>
      <c r="I279" s="38" t="s">
        <v>360</v>
      </c>
    </row>
    <row r="280" spans="3:9" ht="12.75">
      <c r="C280" s="38" t="s">
        <v>123</v>
      </c>
      <c r="D280" s="38" t="s">
        <v>119</v>
      </c>
      <c r="G280" s="38" t="s">
        <v>128</v>
      </c>
      <c r="I280" s="38" t="s">
        <v>361</v>
      </c>
    </row>
    <row r="281" spans="3:9" ht="12.75">
      <c r="C281" s="38" t="s">
        <v>124</v>
      </c>
      <c r="D281" s="38" t="s">
        <v>120</v>
      </c>
      <c r="G281" s="38" t="s">
        <v>129</v>
      </c>
      <c r="I281" s="38" t="s">
        <v>362</v>
      </c>
    </row>
    <row r="282" ht="12.75">
      <c r="B282" s="38" t="s">
        <v>363</v>
      </c>
    </row>
    <row r="283" ht="12.75">
      <c r="C283" s="38" t="s">
        <v>364</v>
      </c>
    </row>
  </sheetData>
  <mergeCells count="90">
    <mergeCell ref="B109:B110"/>
    <mergeCell ref="B105:B106"/>
    <mergeCell ref="J105:J110"/>
    <mergeCell ref="B155:I155"/>
    <mergeCell ref="B153:I153"/>
    <mergeCell ref="B154:I154"/>
    <mergeCell ref="B115:B116"/>
    <mergeCell ref="B143:B144"/>
    <mergeCell ref="J111:J116"/>
    <mergeCell ref="B107:B108"/>
    <mergeCell ref="E91:E95"/>
    <mergeCell ref="B91:B95"/>
    <mergeCell ref="J101:J104"/>
    <mergeCell ref="B101:B102"/>
    <mergeCell ref="B103:B104"/>
    <mergeCell ref="C71:I71"/>
    <mergeCell ref="B59:B60"/>
    <mergeCell ref="C64:I64"/>
    <mergeCell ref="B113:B114"/>
    <mergeCell ref="D91:D95"/>
    <mergeCell ref="C91:C95"/>
    <mergeCell ref="C100:I100"/>
    <mergeCell ref="B111:B112"/>
    <mergeCell ref="B96:B99"/>
    <mergeCell ref="C96:C99"/>
    <mergeCell ref="C76:I76"/>
    <mergeCell ref="B72:B73"/>
    <mergeCell ref="B74:B75"/>
    <mergeCell ref="B77:B83"/>
    <mergeCell ref="C77:C83"/>
    <mergeCell ref="B87:B90"/>
    <mergeCell ref="C87:C90"/>
    <mergeCell ref="C84:C86"/>
    <mergeCell ref="B84:B86"/>
    <mergeCell ref="C57:I57"/>
    <mergeCell ref="C55:D55"/>
    <mergeCell ref="C51:D52"/>
    <mergeCell ref="E51:F52"/>
    <mergeCell ref="E55:F55"/>
    <mergeCell ref="E53:F54"/>
    <mergeCell ref="B66:B67"/>
    <mergeCell ref="B69:B70"/>
    <mergeCell ref="B62:B63"/>
    <mergeCell ref="B47:B48"/>
    <mergeCell ref="F36:H36"/>
    <mergeCell ref="C44:I44"/>
    <mergeCell ref="C45:I45"/>
    <mergeCell ref="C49:D50"/>
    <mergeCell ref="E49:F50"/>
    <mergeCell ref="C47:D47"/>
    <mergeCell ref="E47:F47"/>
    <mergeCell ref="C48:D48"/>
    <mergeCell ref="E48:F48"/>
    <mergeCell ref="D42:F42"/>
    <mergeCell ref="G2:I2"/>
    <mergeCell ref="D2:F2"/>
    <mergeCell ref="D3:I3"/>
    <mergeCell ref="C10:I10"/>
    <mergeCell ref="C4:I4"/>
    <mergeCell ref="C9:I9"/>
    <mergeCell ref="C25:C26"/>
    <mergeCell ref="B11:B12"/>
    <mergeCell ref="C13:C16"/>
    <mergeCell ref="C17:C20"/>
    <mergeCell ref="C22:C24"/>
    <mergeCell ref="C27:C28"/>
    <mergeCell ref="C29:C30"/>
    <mergeCell ref="C31:C35"/>
    <mergeCell ref="C36:D36"/>
    <mergeCell ref="B37:B38"/>
    <mergeCell ref="B42:B43"/>
    <mergeCell ref="C39:I39"/>
    <mergeCell ref="C53:D54"/>
    <mergeCell ref="J123:J128"/>
    <mergeCell ref="B121:B122"/>
    <mergeCell ref="B127:B128"/>
    <mergeCell ref="J117:J122"/>
    <mergeCell ref="B117:B118"/>
    <mergeCell ref="B119:B120"/>
    <mergeCell ref="B123:B124"/>
    <mergeCell ref="B125:B126"/>
    <mergeCell ref="J129:J138"/>
    <mergeCell ref="B139:B140"/>
    <mergeCell ref="B141:B142"/>
    <mergeCell ref="J139:J144"/>
    <mergeCell ref="B133:B134"/>
    <mergeCell ref="B137:B138"/>
    <mergeCell ref="B131:B132"/>
    <mergeCell ref="B129:B130"/>
    <mergeCell ref="B135:B136"/>
  </mergeCells>
  <printOptions/>
  <pageMargins left="0.7874015748031497" right="0.7874015748031497" top="0.5905511811023623" bottom="0.5905511811023623" header="0.31496062992125984" footer="0.5118110236220472"/>
  <pageSetup fitToHeight="0" fitToWidth="1" horizontalDpi="600" verticalDpi="600" orientation="portrait" paperSize="9" scale="66" r:id="rId4"/>
  <headerFooter alignWithMargins="0">
    <oddHeader>&amp;CIEA ECBCS Annex 37 Building Analysis and Predesign Tool&amp;Rpage &amp;P</oddHeader>
    <oddFooter>&amp;LAuthors: D. Schmidt (Sweden); M. Shukuya (Japan); A. Hammache (Canada); J. Zirngbl, C. Francois (France).</oddFooter>
  </headerFooter>
  <rowBreaks count="3" manualBreakCount="3">
    <brk id="70" max="9" man="1"/>
    <brk id="145" max="9" man="1"/>
    <brk id="216" max="9" man="1"/>
  </rowBreaks>
  <drawing r:id="rId3"/>
  <legacyDrawing r:id="rId2"/>
  <oleObjects>
    <oleObject progId="Word.Document.8" shapeId="23507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41"/>
  <sheetViews>
    <sheetView workbookViewId="0" topLeftCell="E5">
      <selection activeCell="J35" sqref="J35"/>
    </sheetView>
  </sheetViews>
  <sheetFormatPr defaultColWidth="11.421875" defaultRowHeight="12.75"/>
  <cols>
    <col min="5" max="7" width="11.00390625" style="0" customWidth="1"/>
    <col min="8" max="9" width="12.28125" style="0" customWidth="1"/>
  </cols>
  <sheetData>
    <row r="1" spans="1:6" ht="12.75">
      <c r="A1" t="s">
        <v>211</v>
      </c>
      <c r="C1" t="s">
        <v>37</v>
      </c>
      <c r="F1" t="s">
        <v>397</v>
      </c>
    </row>
    <row r="2" spans="1:6" ht="12.75">
      <c r="A2" t="s">
        <v>38</v>
      </c>
      <c r="B2" s="25">
        <v>1.005</v>
      </c>
      <c r="C2" t="s">
        <v>39</v>
      </c>
      <c r="D2" s="25">
        <v>1.007</v>
      </c>
      <c r="F2">
        <v>80</v>
      </c>
    </row>
    <row r="3" spans="1:4" ht="12.75">
      <c r="A3" t="s">
        <v>40</v>
      </c>
      <c r="B3" s="25">
        <v>1.2</v>
      </c>
      <c r="C3" t="s">
        <v>41</v>
      </c>
      <c r="D3" s="25">
        <v>1.188</v>
      </c>
    </row>
    <row r="5" ht="12.75">
      <c r="A5" t="s">
        <v>142</v>
      </c>
    </row>
    <row r="6" spans="1:4" ht="12.75">
      <c r="A6" t="s">
        <v>143</v>
      </c>
      <c r="B6">
        <f>'Predesign sheet'!I92</f>
        <v>22</v>
      </c>
      <c r="C6" t="s">
        <v>144</v>
      </c>
      <c r="D6">
        <f>'Predesign sheet'!I91</f>
        <v>28</v>
      </c>
    </row>
    <row r="7" spans="1:2" ht="12.75">
      <c r="A7" t="s">
        <v>145</v>
      </c>
      <c r="B7">
        <f>-1*10^-3*(TL^2)+0.1334167*TL+7.3304167+-0.139667*Th+8.5*10^-4*Th^2-1.55*10^-3*TL*Th</f>
        <v>5.5825081</v>
      </c>
    </row>
    <row r="9" spans="1:13" s="189" customFormat="1" ht="25.5">
      <c r="A9" s="189" t="s">
        <v>110</v>
      </c>
      <c r="D9" s="189" t="s">
        <v>216</v>
      </c>
      <c r="E9" s="189" t="s">
        <v>367</v>
      </c>
      <c r="F9" s="189" t="s">
        <v>408</v>
      </c>
      <c r="G9" s="189" t="s">
        <v>221</v>
      </c>
      <c r="H9" s="189" t="s">
        <v>212</v>
      </c>
      <c r="I9" s="189" t="s">
        <v>406</v>
      </c>
      <c r="J9" s="189" t="s">
        <v>409</v>
      </c>
      <c r="K9" s="189" t="s">
        <v>407</v>
      </c>
      <c r="L9" s="189" t="s">
        <v>282</v>
      </c>
      <c r="M9" s="189" t="s">
        <v>368</v>
      </c>
    </row>
    <row r="10" spans="2:14" ht="12.75">
      <c r="B10" t="s">
        <v>111</v>
      </c>
      <c r="C10">
        <v>1</v>
      </c>
      <c r="D10" s="37">
        <f>'Predesign sheet'!E140</f>
        <v>25691.20939517957</v>
      </c>
      <c r="E10" s="37">
        <f>'Predesign sheet'!F140</f>
        <v>25316.6172020161</v>
      </c>
      <c r="F10" s="37">
        <f aca="true" t="shared" si="0" ref="F10:F17">SUM(D10:E10)</f>
        <v>51007.82659719567</v>
      </c>
      <c r="G10" s="37">
        <f>'Predesign sheet'!I130*'Predesign sheet'!I83</f>
        <v>0</v>
      </c>
      <c r="H10" s="37">
        <f>SUM(F10:G10)</f>
        <v>51007.82659719567</v>
      </c>
      <c r="I10" s="37">
        <f aca="true" t="shared" si="1" ref="I10:I15">H10</f>
        <v>51007.82659719567</v>
      </c>
      <c r="J10" s="37">
        <f>'Predesign sheet'!I144</f>
        <v>30711.771175003807</v>
      </c>
      <c r="K10" s="37">
        <f>J10</f>
        <v>30711.771175003807</v>
      </c>
      <c r="L10" s="37">
        <f aca="true" t="shared" si="2" ref="L10:L16">J10-J11</f>
        <v>21379.612788509952</v>
      </c>
      <c r="M10" s="37">
        <f aca="true" t="shared" si="3" ref="M10:M16">F10-F11</f>
        <v>29723.349498933854</v>
      </c>
      <c r="N10" t="s">
        <v>369</v>
      </c>
    </row>
    <row r="11" spans="2:14" ht="12.75">
      <c r="B11" t="s">
        <v>213</v>
      </c>
      <c r="C11">
        <v>2</v>
      </c>
      <c r="D11" s="37">
        <f>'Predesign sheet'!I130</f>
        <v>12845.604697589784</v>
      </c>
      <c r="E11" s="37">
        <f>E12+'Predesign sheet'!I132+'Predesign sheet'!I67+'Predesign sheet'!I70</f>
        <v>8438.872400672033</v>
      </c>
      <c r="F11" s="37">
        <f t="shared" si="0"/>
        <v>21284.477098261817</v>
      </c>
      <c r="G11" s="37">
        <f>'Predesign sheet'!I130*'Predesign sheet'!I83</f>
        <v>0</v>
      </c>
      <c r="H11" s="37">
        <f>SUM(F11:G11)</f>
        <v>21284.477098261817</v>
      </c>
      <c r="I11" s="37">
        <f t="shared" si="1"/>
        <v>21284.477098261817</v>
      </c>
      <c r="J11" s="37">
        <f>'Predesign sheet'!I134+'Predesign sheet'!I138</f>
        <v>9332.158386493855</v>
      </c>
      <c r="K11" s="37">
        <f>J11</f>
        <v>9332.158386493855</v>
      </c>
      <c r="L11" s="37">
        <f t="shared" si="2"/>
        <v>5730.859802195583</v>
      </c>
      <c r="M11" s="37">
        <f t="shared" si="3"/>
        <v>8047.712242616684</v>
      </c>
      <c r="N11" t="s">
        <v>349</v>
      </c>
    </row>
    <row r="12" spans="2:14" ht="12.75">
      <c r="B12" t="s">
        <v>112</v>
      </c>
      <c r="C12">
        <v>3</v>
      </c>
      <c r="D12" s="37">
        <f>D13+'Predesign sheet'!I124</f>
        <v>11432.588180854907</v>
      </c>
      <c r="E12" s="37">
        <f>E13+'Predesign sheet'!I126</f>
        <v>1804.1766747902254</v>
      </c>
      <c r="F12" s="37">
        <f t="shared" si="0"/>
        <v>13236.764855645133</v>
      </c>
      <c r="G12" s="37">
        <v>0</v>
      </c>
      <c r="H12" s="37">
        <f aca="true" t="shared" si="4" ref="H12:H17">SUM(F12:G12)</f>
        <v>13236.764855645133</v>
      </c>
      <c r="I12" s="37">
        <f t="shared" si="1"/>
        <v>13236.764855645133</v>
      </c>
      <c r="J12" s="37">
        <f>J13+'Predesign sheet'!I128+'Predesign sheet'!I126</f>
        <v>3601.2985842982716</v>
      </c>
      <c r="K12" s="37">
        <f aca="true" t="shared" si="5" ref="K12:K17">J12</f>
        <v>3601.2985842982716</v>
      </c>
      <c r="L12" s="37">
        <f t="shared" si="2"/>
        <v>0</v>
      </c>
      <c r="M12" s="37">
        <f t="shared" si="3"/>
        <v>0</v>
      </c>
      <c r="N12" t="s">
        <v>348</v>
      </c>
    </row>
    <row r="13" spans="2:14" ht="12.75">
      <c r="B13" t="s">
        <v>214</v>
      </c>
      <c r="C13">
        <v>4</v>
      </c>
      <c r="D13" s="37">
        <f>D14+'Predesign sheet'!I118</f>
        <v>11432.588180854907</v>
      </c>
      <c r="E13" s="37">
        <f>E14+'Predesign sheet'!I120</f>
        <v>1804.1766747902254</v>
      </c>
      <c r="F13" s="37">
        <f t="shared" si="0"/>
        <v>13236.764855645133</v>
      </c>
      <c r="G13" s="37">
        <v>0</v>
      </c>
      <c r="H13" s="37">
        <f t="shared" si="4"/>
        <v>13236.764855645133</v>
      </c>
      <c r="I13" s="37">
        <f t="shared" si="1"/>
        <v>13236.764855645133</v>
      </c>
      <c r="J13" s="37">
        <f>J14+'Predesign sheet'!I122+'Predesign sheet'!I120</f>
        <v>3601.2985842982716</v>
      </c>
      <c r="K13" s="37">
        <f t="shared" si="5"/>
        <v>3601.2985842982716</v>
      </c>
      <c r="L13" s="37">
        <f t="shared" si="2"/>
        <v>1850.1328221477145</v>
      </c>
      <c r="M13" s="37">
        <f t="shared" si="3"/>
        <v>2254.7331549296796</v>
      </c>
      <c r="N13" t="s">
        <v>347</v>
      </c>
    </row>
    <row r="14" spans="2:14" ht="12.75">
      <c r="B14" t="s">
        <v>215</v>
      </c>
      <c r="C14">
        <v>5</v>
      </c>
      <c r="D14" s="37">
        <f>D15+'Predesign sheet'!I112</f>
        <v>10979.857688893053</v>
      </c>
      <c r="E14" s="37">
        <f>'Predesign sheet'!I114</f>
        <v>2.1740118224008245</v>
      </c>
      <c r="F14" s="37">
        <f t="shared" si="0"/>
        <v>10982.031700715454</v>
      </c>
      <c r="G14" s="37">
        <v>0</v>
      </c>
      <c r="H14" s="37">
        <f t="shared" si="4"/>
        <v>10982.031700715454</v>
      </c>
      <c r="I14" s="37">
        <f t="shared" si="1"/>
        <v>10982.031700715454</v>
      </c>
      <c r="J14" s="37">
        <f>J15+'Predesign sheet'!I116+'Predesign sheet'!I114</f>
        <v>1751.1657621505572</v>
      </c>
      <c r="K14" s="37">
        <f t="shared" si="5"/>
        <v>1751.1657621505572</v>
      </c>
      <c r="L14" s="37">
        <f t="shared" si="2"/>
        <v>922.5000892543932</v>
      </c>
      <c r="M14" s="37">
        <f t="shared" si="3"/>
        <v>111.97258871133272</v>
      </c>
      <c r="N14" t="s">
        <v>346</v>
      </c>
    </row>
    <row r="15" spans="2:14" ht="12.75">
      <c r="B15" t="s">
        <v>113</v>
      </c>
      <c r="C15">
        <v>6</v>
      </c>
      <c r="D15" s="37">
        <f>'Predesign sheet'!I73</f>
        <v>10870.05911200412</v>
      </c>
      <c r="E15" s="37">
        <v>0</v>
      </c>
      <c r="F15" s="37">
        <f t="shared" si="0"/>
        <v>10870.05911200412</v>
      </c>
      <c r="G15" s="37">
        <v>0</v>
      </c>
      <c r="H15" s="37">
        <f t="shared" si="4"/>
        <v>10870.05911200412</v>
      </c>
      <c r="I15" s="37">
        <f t="shared" si="1"/>
        <v>10870.05911200412</v>
      </c>
      <c r="J15" s="37">
        <f>'Predesign sheet'!I110</f>
        <v>828.665672896164</v>
      </c>
      <c r="K15" s="37">
        <f t="shared" si="5"/>
        <v>828.665672896164</v>
      </c>
      <c r="L15" s="37">
        <f t="shared" si="2"/>
        <v>52.62881635328938</v>
      </c>
      <c r="M15" s="37">
        <f t="shared" si="3"/>
        <v>0</v>
      </c>
      <c r="N15" t="s">
        <v>370</v>
      </c>
    </row>
    <row r="16" spans="2:14" ht="12.75">
      <c r="B16" t="s">
        <v>114</v>
      </c>
      <c r="C16">
        <v>7</v>
      </c>
      <c r="D16" s="37">
        <f>'Predesign sheet'!I73</f>
        <v>10870.05911200412</v>
      </c>
      <c r="E16" s="37">
        <v>0</v>
      </c>
      <c r="F16" s="37">
        <f t="shared" si="0"/>
        <v>10870.05911200412</v>
      </c>
      <c r="G16" s="37">
        <v>0</v>
      </c>
      <c r="H16" s="37">
        <f t="shared" si="4"/>
        <v>10870.05911200412</v>
      </c>
      <c r="I16" s="37">
        <f>H16+C25+C26</f>
        <v>22554.845039999997</v>
      </c>
      <c r="J16" s="37">
        <f>'Predesign sheet'!I104</f>
        <v>776.0368565428746</v>
      </c>
      <c r="K16" s="37">
        <f>J16+(C25+C26)*'Predesign sheet'!I102</f>
        <v>1610.2388095869455</v>
      </c>
      <c r="L16" s="37">
        <f t="shared" si="2"/>
        <v>776.0368565428746</v>
      </c>
      <c r="M16" s="37">
        <f t="shared" si="3"/>
        <v>0</v>
      </c>
      <c r="N16" t="s">
        <v>344</v>
      </c>
    </row>
    <row r="17" spans="2:11" ht="12.75">
      <c r="B17" t="s">
        <v>115</v>
      </c>
      <c r="C17">
        <v>8</v>
      </c>
      <c r="D17" s="37">
        <f>'Predesign sheet'!I73</f>
        <v>10870.05911200412</v>
      </c>
      <c r="E17" s="37">
        <v>0</v>
      </c>
      <c r="F17" s="37">
        <f t="shared" si="0"/>
        <v>10870.05911200412</v>
      </c>
      <c r="G17" s="37">
        <v>0</v>
      </c>
      <c r="H17" s="37">
        <f t="shared" si="4"/>
        <v>10870.05911200412</v>
      </c>
      <c r="I17" s="37">
        <f>H17+C25+C26</f>
        <v>22554.845039999997</v>
      </c>
      <c r="J17" s="37">
        <v>0</v>
      </c>
      <c r="K17" s="37">
        <f t="shared" si="5"/>
        <v>0</v>
      </c>
    </row>
    <row r="19" spans="4:6" ht="12.75">
      <c r="D19" t="s">
        <v>218</v>
      </c>
      <c r="E19" t="s">
        <v>219</v>
      </c>
      <c r="F19" t="s">
        <v>220</v>
      </c>
    </row>
    <row r="21" spans="1:2" ht="51">
      <c r="A21" s="189" t="s">
        <v>217</v>
      </c>
      <c r="B21">
        <v>3</v>
      </c>
    </row>
    <row r="24" spans="1:10" ht="12.75">
      <c r="A24" t="s">
        <v>110</v>
      </c>
      <c r="C24" t="s">
        <v>325</v>
      </c>
      <c r="D24" t="s">
        <v>326</v>
      </c>
      <c r="F24" t="s">
        <v>110</v>
      </c>
      <c r="H24" t="s">
        <v>341</v>
      </c>
      <c r="J24" t="s">
        <v>342</v>
      </c>
    </row>
    <row r="25" spans="2:9" ht="25.5">
      <c r="B25" s="189" t="s">
        <v>331</v>
      </c>
      <c r="C25" s="236">
        <f>'Predesign sheet'!I56</f>
        <v>3280.0859279999995</v>
      </c>
      <c r="G25" s="189" t="s">
        <v>331</v>
      </c>
      <c r="H25" s="37">
        <f>'Predesign sheet'!I56*0.9</f>
        <v>2952.0773351999997</v>
      </c>
      <c r="I25" s="37"/>
    </row>
    <row r="26" spans="2:9" ht="12.75">
      <c r="B26" s="189" t="s">
        <v>332</v>
      </c>
      <c r="C26" s="236">
        <f>SUM('Predesign sheet'!I60:I63)+'Predesign sheet'!I67</f>
        <v>8404.699999995875</v>
      </c>
      <c r="G26" s="189" t="s">
        <v>332</v>
      </c>
      <c r="H26" s="37">
        <f>SUM('Predesign sheet'!I58:I61)*(1-('Predesign sheet'!E8+273.15)/(273.15+37))</f>
        <v>119.2971142995325</v>
      </c>
      <c r="I26" s="37"/>
    </row>
    <row r="27" spans="2:9" ht="12.75">
      <c r="B27" s="189" t="s">
        <v>221</v>
      </c>
      <c r="C27" s="236">
        <f>'Predesign sheet'!I142</f>
      </c>
      <c r="G27" s="189" t="s">
        <v>221</v>
      </c>
      <c r="H27" s="37">
        <f>'Predesign sheet'!G144</f>
        <v>0</v>
      </c>
      <c r="I27" s="37"/>
    </row>
    <row r="28" spans="2:9" ht="25.5">
      <c r="B28" s="189" t="s">
        <v>334</v>
      </c>
      <c r="C28" s="236">
        <f>'Predesign sheet'!I140</f>
        <v>51007.82659719567</v>
      </c>
      <c r="G28" s="189" t="s">
        <v>343</v>
      </c>
      <c r="H28" s="37">
        <f>'Predesign sheet'!E144+'Predesign sheet'!F144</f>
        <v>30711.771175003807</v>
      </c>
      <c r="I28" s="37"/>
    </row>
    <row r="29" spans="2:11" ht="25.5">
      <c r="B29" s="189" t="s">
        <v>327</v>
      </c>
      <c r="C29" s="189"/>
      <c r="D29" s="236">
        <f>SUM('Predesign sheet'!I17:I20)*('Predesign sheet'!E7-'Predesign sheet'!E8)</f>
        <v>11479.734000000002</v>
      </c>
      <c r="G29" s="189" t="s">
        <v>344</v>
      </c>
      <c r="J29" s="37">
        <f>L16</f>
        <v>776.0368565428746</v>
      </c>
      <c r="K29" s="37"/>
    </row>
    <row r="30" spans="2:11" ht="25.5">
      <c r="B30" s="189" t="s">
        <v>328</v>
      </c>
      <c r="C30" s="189"/>
      <c r="D30" s="236">
        <f>SUM('Predesign sheet'!I22:I28)*('Predesign sheet'!E7-'Predesign sheet'!E8)</f>
        <v>1530.4947000000002</v>
      </c>
      <c r="G30" s="189" t="s">
        <v>345</v>
      </c>
      <c r="J30" s="37">
        <f>L15</f>
        <v>52.62881635328938</v>
      </c>
      <c r="K30" s="37"/>
    </row>
    <row r="31" spans="2:11" ht="25.5">
      <c r="B31" s="189" t="s">
        <v>329</v>
      </c>
      <c r="C31" s="189"/>
      <c r="D31" s="236">
        <f>SUM('Predesign sheet'!I29:I35)*('Predesign sheet'!E7-'Predesign sheet'!E8)</f>
        <v>1544.8633199999997</v>
      </c>
      <c r="G31" s="189" t="s">
        <v>346</v>
      </c>
      <c r="J31" s="37">
        <f>L14</f>
        <v>922.5000892543932</v>
      </c>
      <c r="K31" s="37"/>
    </row>
    <row r="32" spans="2:11" ht="25.5">
      <c r="B32" s="189" t="s">
        <v>335</v>
      </c>
      <c r="D32" s="236">
        <f>(SUM('Predesign sheet'!I13:I16)+'Predesign sheet'!I21)*('Predesign sheet'!E7-'Predesign sheet'!E8)</f>
        <v>2189.67315</v>
      </c>
      <c r="G32" s="189" t="s">
        <v>347</v>
      </c>
      <c r="J32" s="37">
        <f>L13</f>
        <v>1850.1328221477145</v>
      </c>
      <c r="K32" s="37"/>
    </row>
    <row r="33" spans="2:11" ht="12.75">
      <c r="B33" s="189" t="s">
        <v>330</v>
      </c>
      <c r="D33" s="236">
        <f>'Predesign sheet'!I43</f>
        <v>5810.079869999998</v>
      </c>
      <c r="G33" s="189" t="s">
        <v>348</v>
      </c>
      <c r="J33" s="37">
        <f>L12</f>
        <v>0</v>
      </c>
      <c r="K33" s="37"/>
    </row>
    <row r="34" spans="2:11" ht="25.5">
      <c r="B34" s="189" t="s">
        <v>339</v>
      </c>
      <c r="D34" s="37">
        <f>'Predesign sheet'!I112+'Predesign sheet'!I118+'Predesign sheet'!I124</f>
        <v>562.5290688507862</v>
      </c>
      <c r="G34" s="189" t="s">
        <v>349</v>
      </c>
      <c r="J34" s="37">
        <f>L11</f>
        <v>5730.859802195583</v>
      </c>
      <c r="K34" s="37"/>
    </row>
    <row r="35" spans="2:11" ht="25.5">
      <c r="B35" s="189" t="s">
        <v>366</v>
      </c>
      <c r="D35" s="37">
        <f>'Predesign sheet'!I130-'Predesign sheet'!E130</f>
        <v>1413.0165167348769</v>
      </c>
      <c r="G35" s="189" t="s">
        <v>350</v>
      </c>
      <c r="J35" s="37">
        <f>L10</f>
        <v>21379.612788509952</v>
      </c>
      <c r="K35" s="37"/>
    </row>
    <row r="36" spans="2:7" ht="25.5">
      <c r="B36" s="189" t="s">
        <v>365</v>
      </c>
      <c r="D36" s="236">
        <f>'Predesign sheet'!I114+'Predesign sheet'!I120+'Predesign sheet'!I126+'Predesign sheet'!I132</f>
        <v>1804.291000672034</v>
      </c>
      <c r="G36" s="189"/>
    </row>
    <row r="37" spans="2:7" ht="12.75">
      <c r="B37" s="189" t="s">
        <v>385</v>
      </c>
      <c r="D37" s="236">
        <f>'Predesign sheet'!I67</f>
        <v>4404.7</v>
      </c>
      <c r="G37" s="189"/>
    </row>
    <row r="38" spans="2:7" ht="25.5">
      <c r="B38" s="189" t="s">
        <v>386</v>
      </c>
      <c r="D38" s="236">
        <f>'Predesign sheet'!I70</f>
        <v>2229.8814</v>
      </c>
      <c r="G38" s="189"/>
    </row>
    <row r="39" spans="2:7" ht="12.75">
      <c r="B39" s="189" t="s">
        <v>387</v>
      </c>
      <c r="D39" s="236">
        <f>'Predesign sheet'!I136</f>
        <v>0</v>
      </c>
      <c r="G39" s="189"/>
    </row>
    <row r="40" spans="2:7" ht="25.5">
      <c r="B40" s="189" t="s">
        <v>333</v>
      </c>
      <c r="D40" s="37">
        <f>'Predesign sheet'!I130*('Predesign sheet'!I78-1)+('Predesign sheet'!I67+'Predesign sheet'!I70+'Predesign sheet'!I114+'Predesign sheet'!I120+'Predesign sheet'!I126+'Predesign sheet'!I132)*('General Values'!B21-1)+'Predesign sheet'!I136*('Predesign sheet'!I98-1)</f>
        <v>29723.34949893385</v>
      </c>
      <c r="G40" s="189"/>
    </row>
    <row r="41" spans="1:11" ht="12.75">
      <c r="A41" t="s">
        <v>336</v>
      </c>
      <c r="C41" s="37">
        <f>SUM(C25:C28)</f>
        <v>62692.61252519155</v>
      </c>
      <c r="D41" s="37">
        <f>SUM(D29:D40)</f>
        <v>62692.61252519155</v>
      </c>
      <c r="G41" t="s">
        <v>336</v>
      </c>
      <c r="H41" s="37">
        <f>SUM(H25:H33)</f>
        <v>33783.14562450334</v>
      </c>
      <c r="I41" s="37"/>
      <c r="J41" s="37">
        <f>SUM(J29:J35)</f>
        <v>30711.771175003807</v>
      </c>
      <c r="K41" s="37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29"/>
  <sheetViews>
    <sheetView workbookViewId="0" topLeftCell="A1">
      <selection activeCell="G12" sqref="G12"/>
    </sheetView>
  </sheetViews>
  <sheetFormatPr defaultColWidth="11.421875" defaultRowHeight="12.75"/>
  <cols>
    <col min="1" max="1" width="25.57421875" style="0" customWidth="1"/>
    <col min="2" max="2" width="9.8515625" style="25" customWidth="1"/>
    <col min="3" max="3" width="19.421875" style="25" customWidth="1"/>
    <col min="4" max="4" width="21.00390625" style="25" customWidth="1"/>
    <col min="5" max="5" width="23.28125" style="25" customWidth="1"/>
    <col min="6" max="7" width="14.28125" style="25" customWidth="1"/>
    <col min="8" max="8" width="22.421875" style="0" customWidth="1"/>
  </cols>
  <sheetData>
    <row r="1" spans="1:9" ht="12.75">
      <c r="A1" s="159" t="s">
        <v>154</v>
      </c>
      <c r="B1" s="160" t="s">
        <v>155</v>
      </c>
      <c r="C1" s="160" t="s">
        <v>156</v>
      </c>
      <c r="D1" s="160" t="s">
        <v>157</v>
      </c>
      <c r="E1" s="160" t="s">
        <v>198</v>
      </c>
      <c r="F1" s="160" t="s">
        <v>158</v>
      </c>
      <c r="G1" s="160" t="s">
        <v>158</v>
      </c>
      <c r="H1" s="206" t="s">
        <v>277</v>
      </c>
      <c r="I1" s="234" t="s">
        <v>189</v>
      </c>
    </row>
    <row r="2" spans="1:9" ht="15.75">
      <c r="A2" s="161"/>
      <c r="B2" s="162" t="s">
        <v>439</v>
      </c>
      <c r="C2" s="162" t="s">
        <v>160</v>
      </c>
      <c r="D2" s="162" t="s">
        <v>160</v>
      </c>
      <c r="E2" s="162" t="s">
        <v>161</v>
      </c>
      <c r="F2" s="162" t="s">
        <v>187</v>
      </c>
      <c r="G2" s="162" t="s">
        <v>450</v>
      </c>
      <c r="H2" s="206">
        <v>11</v>
      </c>
      <c r="I2" s="235">
        <v>11</v>
      </c>
    </row>
    <row r="3" spans="1:8" ht="12.75">
      <c r="A3" s="161"/>
      <c r="B3" s="162"/>
      <c r="C3" s="162">
        <v>0</v>
      </c>
      <c r="D3" s="162"/>
      <c r="E3" s="162"/>
      <c r="F3" s="162"/>
      <c r="G3" s="162"/>
      <c r="H3" s="207"/>
    </row>
    <row r="4" spans="1:8" ht="12.75">
      <c r="A4" s="163" t="s">
        <v>446</v>
      </c>
      <c r="B4" s="301">
        <f>B27</f>
        <v>2.93333333342666</v>
      </c>
      <c r="C4" s="164">
        <v>3</v>
      </c>
      <c r="D4" s="164">
        <v>1</v>
      </c>
      <c r="E4" s="164">
        <v>80</v>
      </c>
      <c r="F4" s="300">
        <v>2</v>
      </c>
      <c r="G4" s="300"/>
      <c r="H4" s="245">
        <f>B4-1</f>
        <v>1.9333333334266598</v>
      </c>
    </row>
    <row r="5" spans="1:9" s="309" customFormat="1" ht="12.75">
      <c r="A5" s="290" t="s">
        <v>440</v>
      </c>
      <c r="B5" s="307">
        <v>0.95</v>
      </c>
      <c r="C5" s="308">
        <v>1.3</v>
      </c>
      <c r="D5" s="308">
        <v>0.95</v>
      </c>
      <c r="E5" s="308">
        <v>70</v>
      </c>
      <c r="F5" s="308">
        <v>1.8</v>
      </c>
      <c r="G5" s="308">
        <v>20</v>
      </c>
      <c r="H5" s="308">
        <v>0</v>
      </c>
      <c r="I5" s="309" t="s">
        <v>442</v>
      </c>
    </row>
    <row r="6" spans="1:8" ht="12.75">
      <c r="A6" s="163" t="s">
        <v>447</v>
      </c>
      <c r="B6" s="184">
        <v>0.85</v>
      </c>
      <c r="C6" s="164">
        <v>1.37</v>
      </c>
      <c r="D6" s="164">
        <v>0.95</v>
      </c>
      <c r="E6" s="164">
        <v>100</v>
      </c>
      <c r="F6" s="164">
        <v>0.02</v>
      </c>
      <c r="G6" s="164"/>
      <c r="H6" s="164">
        <v>0</v>
      </c>
    </row>
    <row r="7" spans="1:8" ht="12.75">
      <c r="A7" s="163" t="s">
        <v>162</v>
      </c>
      <c r="B7" s="184">
        <v>0.98</v>
      </c>
      <c r="C7" s="164">
        <v>3</v>
      </c>
      <c r="D7" s="164">
        <v>1</v>
      </c>
      <c r="E7" s="164">
        <v>100</v>
      </c>
      <c r="F7" s="164">
        <v>0.02</v>
      </c>
      <c r="G7" s="164"/>
      <c r="H7" s="164">
        <v>0</v>
      </c>
    </row>
    <row r="8" spans="1:8" ht="12.75">
      <c r="A8" s="163" t="s">
        <v>443</v>
      </c>
      <c r="B8" s="302">
        <f>B29</f>
        <v>3.2800000000000002</v>
      </c>
      <c r="C8" s="164">
        <v>3</v>
      </c>
      <c r="D8" s="164">
        <v>1</v>
      </c>
      <c r="E8" s="164">
        <v>80</v>
      </c>
      <c r="F8" s="300">
        <v>2</v>
      </c>
      <c r="G8" s="300"/>
      <c r="H8" s="245">
        <f>B8-1</f>
        <v>2.2800000000000002</v>
      </c>
    </row>
    <row r="9" spans="1:9" ht="12.75">
      <c r="A9" s="163" t="s">
        <v>445</v>
      </c>
      <c r="B9" s="301">
        <f>B26</f>
        <v>3.5266666573333003</v>
      </c>
      <c r="C9" s="164">
        <v>3</v>
      </c>
      <c r="D9" s="164">
        <v>1</v>
      </c>
      <c r="E9" s="164">
        <v>80</v>
      </c>
      <c r="F9" s="300">
        <v>10</v>
      </c>
      <c r="G9" s="300"/>
      <c r="H9" s="245">
        <f>B9-1</f>
        <v>2.5266666573333003</v>
      </c>
      <c r="I9" t="s">
        <v>426</v>
      </c>
    </row>
    <row r="10" spans="1:8" ht="12.75">
      <c r="A10" s="165" t="s">
        <v>163</v>
      </c>
      <c r="B10" s="185">
        <v>0.7</v>
      </c>
      <c r="C10" s="166">
        <v>0</v>
      </c>
      <c r="D10" s="166">
        <v>0.23</v>
      </c>
      <c r="E10" s="166">
        <v>80</v>
      </c>
      <c r="F10" s="166">
        <v>0.01</v>
      </c>
      <c r="G10" s="166"/>
      <c r="H10" s="166">
        <v>1</v>
      </c>
    </row>
    <row r="11" spans="1:8" ht="12.75">
      <c r="A11" s="165" t="s">
        <v>164</v>
      </c>
      <c r="B11" s="185">
        <v>0.5</v>
      </c>
      <c r="C11" s="166">
        <v>0</v>
      </c>
      <c r="D11" s="166">
        <v>0.35</v>
      </c>
      <c r="E11" s="166">
        <v>150</v>
      </c>
      <c r="F11" s="166">
        <v>0.01</v>
      </c>
      <c r="G11" s="166"/>
      <c r="H11" s="166">
        <v>1</v>
      </c>
    </row>
    <row r="12" spans="1:8" ht="12.75">
      <c r="A12" s="165" t="s">
        <v>165</v>
      </c>
      <c r="B12" s="185">
        <v>0.65</v>
      </c>
      <c r="C12" s="166">
        <v>0.1</v>
      </c>
      <c r="D12" s="166">
        <v>0.95</v>
      </c>
      <c r="E12" s="166">
        <v>70</v>
      </c>
      <c r="F12" s="166">
        <v>1.8</v>
      </c>
      <c r="G12" s="166">
        <v>20</v>
      </c>
      <c r="H12" s="166">
        <v>0.9</v>
      </c>
    </row>
    <row r="13" spans="1:8" s="309" customFormat="1" ht="12.75">
      <c r="A13" s="290" t="s">
        <v>438</v>
      </c>
      <c r="B13" s="307">
        <v>0.89</v>
      </c>
      <c r="C13" s="308">
        <v>2</v>
      </c>
      <c r="D13" s="308">
        <v>0.21</v>
      </c>
      <c r="E13" s="308">
        <v>100</v>
      </c>
      <c r="F13" s="308">
        <v>0.01</v>
      </c>
      <c r="G13" s="308"/>
      <c r="H13" s="308">
        <v>0</v>
      </c>
    </row>
    <row r="14" spans="1:8" s="309" customFormat="1" ht="12.75">
      <c r="A14" s="290" t="s">
        <v>166</v>
      </c>
      <c r="B14" s="307">
        <v>0.89</v>
      </c>
      <c r="C14" s="308">
        <v>1</v>
      </c>
      <c r="D14" s="308">
        <v>0.21</v>
      </c>
      <c r="E14" s="308">
        <v>100</v>
      </c>
      <c r="F14" s="308">
        <v>0.01</v>
      </c>
      <c r="G14" s="308"/>
      <c r="H14" s="308">
        <v>0</v>
      </c>
    </row>
    <row r="15" spans="1:9" ht="12.75">
      <c r="A15" s="165" t="s">
        <v>441</v>
      </c>
      <c r="B15" s="185">
        <v>0.8</v>
      </c>
      <c r="C15" s="166">
        <v>1.3</v>
      </c>
      <c r="D15" s="166">
        <v>0.95</v>
      </c>
      <c r="E15" s="166">
        <v>90</v>
      </c>
      <c r="F15" s="166">
        <v>1.8</v>
      </c>
      <c r="G15" s="166">
        <v>20</v>
      </c>
      <c r="H15" s="166">
        <v>0</v>
      </c>
      <c r="I15" t="s">
        <v>442</v>
      </c>
    </row>
    <row r="16" spans="1:8" ht="12.75">
      <c r="A16" s="165" t="s">
        <v>444</v>
      </c>
      <c r="B16" s="301">
        <f>B28</f>
        <v>4.61333333333426</v>
      </c>
      <c r="C16" s="166">
        <v>3</v>
      </c>
      <c r="D16" s="166">
        <v>1</v>
      </c>
      <c r="E16" s="166">
        <v>35</v>
      </c>
      <c r="F16" s="300">
        <v>2</v>
      </c>
      <c r="G16" s="300"/>
      <c r="H16" s="303">
        <f>B16-1</f>
        <v>3.6133333333342597</v>
      </c>
    </row>
    <row r="17" spans="1:9" ht="12.75">
      <c r="A17" s="165" t="s">
        <v>167</v>
      </c>
      <c r="B17" s="185">
        <v>2.5</v>
      </c>
      <c r="C17" s="166">
        <v>3</v>
      </c>
      <c r="D17" s="166">
        <v>1</v>
      </c>
      <c r="E17" s="166">
        <v>80</v>
      </c>
      <c r="F17" s="300">
        <v>10</v>
      </c>
      <c r="G17" s="300"/>
      <c r="H17" s="166">
        <f>B17-1</f>
        <v>1.5</v>
      </c>
      <c r="I17" t="s">
        <v>426</v>
      </c>
    </row>
    <row r="25" spans="1:7" ht="12.75">
      <c r="A25" t="s">
        <v>432</v>
      </c>
      <c r="B25" s="25">
        <f>'Predesign sheet'!I91</f>
        <v>28</v>
      </c>
      <c r="C25" s="230" t="s">
        <v>428</v>
      </c>
      <c r="F25"/>
      <c r="G25"/>
    </row>
    <row r="26" spans="1:7" ht="12.75">
      <c r="A26" t="s">
        <v>427</v>
      </c>
      <c r="B26" s="25">
        <f>-0.046666667*B25+4.8333333333333</f>
        <v>3.5266666573333003</v>
      </c>
      <c r="F26"/>
      <c r="G26"/>
    </row>
    <row r="27" spans="1:7" ht="12.75">
      <c r="A27" t="s">
        <v>429</v>
      </c>
      <c r="B27" s="25">
        <f>-0.03333333333*B25+3.86666666666666</f>
        <v>2.93333333342666</v>
      </c>
      <c r="F27"/>
      <c r="G27"/>
    </row>
    <row r="28" spans="1:7" ht="12.75">
      <c r="A28" t="s">
        <v>430</v>
      </c>
      <c r="B28" s="25">
        <f>-0.0733333333333*B25+6.66666666666666</f>
        <v>4.61333333333426</v>
      </c>
      <c r="F28"/>
      <c r="G28"/>
    </row>
    <row r="29" spans="1:7" ht="12.75">
      <c r="A29" t="s">
        <v>431</v>
      </c>
      <c r="B29" s="25">
        <f>-0.04*B25+4.4</f>
        <v>3.2800000000000002</v>
      </c>
      <c r="F29"/>
      <c r="G29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F11"/>
  <sheetViews>
    <sheetView workbookViewId="0" topLeftCell="A1">
      <selection activeCell="E2" sqref="E2"/>
    </sheetView>
  </sheetViews>
  <sheetFormatPr defaultColWidth="11.421875" defaultRowHeight="12.75"/>
  <cols>
    <col min="1" max="1" width="20.8515625" style="0" customWidth="1"/>
    <col min="2" max="2" width="17.28125" style="0" customWidth="1"/>
    <col min="3" max="3" width="15.140625" style="0" customWidth="1"/>
  </cols>
  <sheetData>
    <row r="1" spans="1:6" ht="12.75">
      <c r="A1" s="159" t="s">
        <v>154</v>
      </c>
      <c r="B1" s="160" t="s">
        <v>168</v>
      </c>
      <c r="C1" s="160" t="s">
        <v>158</v>
      </c>
      <c r="D1" s="160" t="s">
        <v>381</v>
      </c>
      <c r="E1" s="270"/>
      <c r="F1" s="170" t="s">
        <v>189</v>
      </c>
    </row>
    <row r="2" spans="1:6" ht="15.75">
      <c r="A2" s="161"/>
      <c r="B2" s="162" t="s">
        <v>160</v>
      </c>
      <c r="C2" s="162" t="s">
        <v>187</v>
      </c>
      <c r="D2" s="162" t="s">
        <v>160</v>
      </c>
      <c r="E2" s="271">
        <v>3</v>
      </c>
      <c r="F2" s="171">
        <v>2</v>
      </c>
    </row>
    <row r="3" spans="1:5" ht="12.75">
      <c r="A3" s="161"/>
      <c r="B3" s="162"/>
      <c r="C3" s="162"/>
      <c r="D3" s="162"/>
      <c r="E3" s="271"/>
    </row>
    <row r="4" spans="1:5" ht="12.75">
      <c r="A4" s="163" t="s">
        <v>169</v>
      </c>
      <c r="B4" s="163">
        <v>1</v>
      </c>
      <c r="C4" s="163">
        <v>0</v>
      </c>
      <c r="D4" s="163">
        <v>0</v>
      </c>
      <c r="E4" s="222"/>
    </row>
    <row r="5" spans="1:5" ht="13.5" thickBot="1">
      <c r="A5" s="165" t="s">
        <v>192</v>
      </c>
      <c r="B5" s="165">
        <v>0.95</v>
      </c>
      <c r="C5" s="165">
        <v>2</v>
      </c>
      <c r="D5" s="165">
        <v>0</v>
      </c>
      <c r="E5" s="222"/>
    </row>
    <row r="6" spans="1:5" ht="13.5" thickBot="1">
      <c r="A6" s="165" t="s">
        <v>170</v>
      </c>
      <c r="B6" s="165">
        <v>0.98</v>
      </c>
      <c r="C6" s="165">
        <v>13.4</v>
      </c>
      <c r="D6" s="165">
        <v>0.4</v>
      </c>
      <c r="E6" s="228">
        <f>INDEX(B3:B6,F2)</f>
        <v>1</v>
      </c>
    </row>
    <row r="10" ht="12.75">
      <c r="A10" t="s">
        <v>390</v>
      </c>
    </row>
    <row r="11" spans="1:3" ht="12.75">
      <c r="A11" t="s">
        <v>392</v>
      </c>
      <c r="B11" s="272">
        <f>(1-E6)*('Values Distribution'!E24+'Values Distribution'!E33)</f>
        <v>0</v>
      </c>
      <c r="C11" t="s">
        <v>391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E40"/>
  <sheetViews>
    <sheetView workbookViewId="0" topLeftCell="A1">
      <selection activeCell="D24" sqref="D24"/>
    </sheetView>
  </sheetViews>
  <sheetFormatPr defaultColWidth="11.421875" defaultRowHeight="12.75"/>
  <cols>
    <col min="1" max="1" width="25.28125" style="0" customWidth="1"/>
    <col min="2" max="2" width="17.7109375" style="0" customWidth="1"/>
    <col min="3" max="3" width="15.00390625" style="0" customWidth="1"/>
  </cols>
  <sheetData>
    <row r="1" spans="1:5" ht="15.75">
      <c r="A1" s="159" t="s">
        <v>296</v>
      </c>
      <c r="B1" s="160" t="s">
        <v>297</v>
      </c>
      <c r="C1" s="170" t="s">
        <v>298</v>
      </c>
      <c r="E1" t="s">
        <v>315</v>
      </c>
    </row>
    <row r="2" spans="1:3" ht="12.75">
      <c r="A2" s="161"/>
      <c r="B2" s="162" t="s">
        <v>160</v>
      </c>
      <c r="C2" s="171">
        <v>2</v>
      </c>
    </row>
    <row r="3" spans="1:2" ht="12.75">
      <c r="A3" s="161"/>
      <c r="B3" s="162"/>
    </row>
    <row r="4" spans="1:2" s="178" customFormat="1" ht="12.75">
      <c r="A4" s="221" t="s">
        <v>171</v>
      </c>
      <c r="B4" s="221">
        <v>1</v>
      </c>
    </row>
    <row r="5" spans="1:2" s="178" customFormat="1" ht="13.5" thickBot="1">
      <c r="A5" s="221" t="s">
        <v>172</v>
      </c>
      <c r="B5" s="221">
        <v>0.9</v>
      </c>
    </row>
    <row r="6" spans="1:3" s="178" customFormat="1" ht="13.5" thickBot="1">
      <c r="A6" s="221" t="s">
        <v>299</v>
      </c>
      <c r="B6" s="223">
        <v>1</v>
      </c>
      <c r="C6" s="224">
        <f>INDEX(B3:B6,C2)</f>
        <v>1</v>
      </c>
    </row>
    <row r="7" spans="1:3" s="178" customFormat="1" ht="12.75">
      <c r="A7" s="222"/>
      <c r="B7" s="222"/>
      <c r="C7" s="222"/>
    </row>
    <row r="8" spans="1:3" s="178" customFormat="1" ht="12.75">
      <c r="A8" s="222"/>
      <c r="B8" s="222"/>
      <c r="C8" s="222"/>
    </row>
    <row r="9" spans="1:3" ht="15.75">
      <c r="A9" s="159" t="s">
        <v>300</v>
      </c>
      <c r="B9" s="160" t="s">
        <v>301</v>
      </c>
      <c r="C9" s="170" t="s">
        <v>302</v>
      </c>
    </row>
    <row r="10" spans="1:3" ht="12.75">
      <c r="A10" s="161"/>
      <c r="B10" s="162" t="s">
        <v>160</v>
      </c>
      <c r="C10" s="171">
        <v>4</v>
      </c>
    </row>
    <row r="11" spans="1:2" ht="12.75">
      <c r="A11" s="161"/>
      <c r="B11" s="162"/>
    </row>
    <row r="12" spans="1:3" ht="12.75">
      <c r="A12" s="221" t="s">
        <v>303</v>
      </c>
      <c r="B12" s="221">
        <v>0.7</v>
      </c>
      <c r="C12" s="178"/>
    </row>
    <row r="13" spans="1:3" ht="12.75">
      <c r="A13" s="221" t="s">
        <v>305</v>
      </c>
      <c r="B13" s="221">
        <v>0.9</v>
      </c>
      <c r="C13" s="178"/>
    </row>
    <row r="14" spans="1:3" ht="13.5" thickBot="1">
      <c r="A14" s="221" t="s">
        <v>304</v>
      </c>
      <c r="B14" s="221">
        <v>1</v>
      </c>
      <c r="C14" s="178"/>
    </row>
    <row r="15" spans="1:3" ht="13.5" thickBot="1">
      <c r="A15" s="221" t="s">
        <v>299</v>
      </c>
      <c r="B15" s="223">
        <v>1</v>
      </c>
      <c r="C15" s="224">
        <f>INDEX(B11:B15,C10)</f>
        <v>1</v>
      </c>
    </row>
    <row r="18" spans="1:4" ht="15.75">
      <c r="A18" s="159" t="s">
        <v>306</v>
      </c>
      <c r="B18" s="225" t="s">
        <v>307</v>
      </c>
      <c r="C18" s="160" t="s">
        <v>337</v>
      </c>
      <c r="D18" s="205" t="s">
        <v>308</v>
      </c>
    </row>
    <row r="19" spans="1:4" ht="12.75">
      <c r="A19" s="161"/>
      <c r="B19" s="226" t="s">
        <v>160</v>
      </c>
      <c r="C19" s="162">
        <v>1</v>
      </c>
      <c r="D19" s="171">
        <v>2</v>
      </c>
    </row>
    <row r="20" spans="1:3" ht="12.75">
      <c r="A20" s="161"/>
      <c r="B20" s="226"/>
      <c r="C20" s="243"/>
    </row>
    <row r="21" spans="1:4" ht="12.75">
      <c r="A21" s="221" t="s">
        <v>309</v>
      </c>
      <c r="B21" s="227">
        <v>1</v>
      </c>
      <c r="C21" s="221">
        <v>35</v>
      </c>
      <c r="D21" s="178"/>
    </row>
    <row r="22" spans="1:4" ht="12.75">
      <c r="A22" s="221" t="s">
        <v>310</v>
      </c>
      <c r="B22" s="227">
        <v>0.95</v>
      </c>
      <c r="C22" s="221">
        <v>50</v>
      </c>
      <c r="D22" s="178"/>
    </row>
    <row r="23" spans="1:4" ht="13.5" thickBot="1">
      <c r="A23" s="221" t="s">
        <v>311</v>
      </c>
      <c r="B23" s="227">
        <v>0.9</v>
      </c>
      <c r="C23" s="221">
        <v>80</v>
      </c>
      <c r="D23" s="178"/>
    </row>
    <row r="24" spans="1:5" ht="13.5" thickBot="1">
      <c r="A24" s="221" t="s">
        <v>299</v>
      </c>
      <c r="B24" s="223">
        <v>1</v>
      </c>
      <c r="C24" s="242"/>
      <c r="D24" s="228">
        <f>INDEX(B20:B24,D19)</f>
        <v>1</v>
      </c>
      <c r="E24" s="228">
        <f>INDEX(C20:C24,D19)</f>
        <v>35</v>
      </c>
    </row>
    <row r="27" spans="1:4" ht="15.75">
      <c r="A27" s="159" t="s">
        <v>313</v>
      </c>
      <c r="B27" s="225" t="s">
        <v>314</v>
      </c>
      <c r="C27" s="160" t="s">
        <v>319</v>
      </c>
      <c r="D27" s="205" t="s">
        <v>312</v>
      </c>
    </row>
    <row r="28" spans="1:4" ht="12.75">
      <c r="A28" s="161"/>
      <c r="B28" s="226" t="s">
        <v>160</v>
      </c>
      <c r="C28" s="162" t="s">
        <v>318</v>
      </c>
      <c r="D28" s="171">
        <v>2</v>
      </c>
    </row>
    <row r="29" spans="1:3" ht="12.75">
      <c r="A29" s="161"/>
      <c r="B29" s="226"/>
      <c r="C29" s="207"/>
    </row>
    <row r="30" spans="1:4" ht="12.75">
      <c r="A30" s="265" t="s">
        <v>316</v>
      </c>
      <c r="B30" s="227">
        <v>0.98</v>
      </c>
      <c r="C30" s="207">
        <v>5</v>
      </c>
      <c r="D30" s="178"/>
    </row>
    <row r="31" spans="1:4" ht="12.75">
      <c r="A31" s="265" t="s">
        <v>317</v>
      </c>
      <c r="B31" s="227">
        <v>0.99</v>
      </c>
      <c r="C31" s="207">
        <v>10</v>
      </c>
      <c r="D31" s="178"/>
    </row>
    <row r="32" spans="1:4" ht="13.5" thickBot="1">
      <c r="A32" s="265" t="s">
        <v>311</v>
      </c>
      <c r="B32" s="227">
        <v>1</v>
      </c>
      <c r="C32" s="207">
        <v>20</v>
      </c>
      <c r="D32" s="178"/>
    </row>
    <row r="33" spans="1:5" ht="13.5" thickBot="1">
      <c r="A33" s="265" t="s">
        <v>299</v>
      </c>
      <c r="B33" s="223">
        <v>1</v>
      </c>
      <c r="C33" s="207"/>
      <c r="D33" s="228">
        <f>INDEX(B29:B33,D28)</f>
        <v>0.98</v>
      </c>
      <c r="E33" s="228">
        <f>INDEX(C29:C33,D28)</f>
        <v>5</v>
      </c>
    </row>
    <row r="34" spans="1:3" ht="12.75">
      <c r="A34" s="222"/>
      <c r="B34" s="222"/>
      <c r="C34" s="222"/>
    </row>
    <row r="36" spans="1:2" ht="12.75">
      <c r="A36" s="160" t="s">
        <v>168</v>
      </c>
      <c r="B36" s="160" t="s">
        <v>158</v>
      </c>
    </row>
    <row r="37" spans="1:2" ht="15.75">
      <c r="A37" s="162" t="s">
        <v>159</v>
      </c>
      <c r="B37" s="162" t="s">
        <v>187</v>
      </c>
    </row>
    <row r="38" spans="1:5" ht="12.75">
      <c r="A38" s="207">
        <f>IF(C2=4,1,0.98*C6*C15*D24*D33)</f>
        <v>0.9603999999999999</v>
      </c>
      <c r="B38" s="207">
        <f>IF(C2=4,0,(D38*D39)/0.27)</f>
        <v>164.11894525652048</v>
      </c>
      <c r="C38" s="229" t="s">
        <v>320</v>
      </c>
      <c r="D38">
        <f>(1+0.3)*100*0.25*'Predesign sheet'!E6</f>
        <v>71576.375</v>
      </c>
      <c r="E38" s="230" t="s">
        <v>321</v>
      </c>
    </row>
    <row r="39" spans="3:5" ht="12.75">
      <c r="C39" s="229" t="s">
        <v>322</v>
      </c>
      <c r="D39">
        <f>IF(E33=0,0,1/(1.163*E33)*0.0036)</f>
        <v>0.0006190885640584695</v>
      </c>
      <c r="E39" t="s">
        <v>323</v>
      </c>
    </row>
    <row r="40" ht="12.75">
      <c r="C40" s="22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H19"/>
  <sheetViews>
    <sheetView workbookViewId="0" topLeftCell="A1">
      <selection activeCell="D24" sqref="D24"/>
    </sheetView>
  </sheetViews>
  <sheetFormatPr defaultColWidth="11.421875" defaultRowHeight="12.75"/>
  <cols>
    <col min="1" max="1" width="24.7109375" style="0" customWidth="1"/>
    <col min="2" max="3" width="17.28125" style="25" customWidth="1"/>
    <col min="4" max="4" width="23.140625" style="25" customWidth="1"/>
    <col min="5" max="5" width="19.7109375" style="25" customWidth="1"/>
    <col min="6" max="6" width="19.00390625" style="0" customWidth="1"/>
  </cols>
  <sheetData>
    <row r="1" spans="1:8" ht="12.75">
      <c r="A1" s="167" t="s">
        <v>154</v>
      </c>
      <c r="B1" s="160" t="s">
        <v>173</v>
      </c>
      <c r="C1" s="160" t="s">
        <v>174</v>
      </c>
      <c r="D1" s="160" t="s">
        <v>175</v>
      </c>
      <c r="E1" s="160" t="s">
        <v>176</v>
      </c>
      <c r="F1" s="160" t="s">
        <v>168</v>
      </c>
      <c r="H1" s="170" t="s">
        <v>189</v>
      </c>
    </row>
    <row r="2" spans="1:8" ht="15.75">
      <c r="A2" s="168"/>
      <c r="B2" s="162" t="s">
        <v>161</v>
      </c>
      <c r="C2" s="162" t="s">
        <v>161</v>
      </c>
      <c r="D2" s="162" t="s">
        <v>188</v>
      </c>
      <c r="E2" s="162" t="s">
        <v>177</v>
      </c>
      <c r="F2" s="162" t="s">
        <v>159</v>
      </c>
      <c r="H2" s="171">
        <v>7</v>
      </c>
    </row>
    <row r="3" spans="1:8" ht="12.75">
      <c r="A3" s="168"/>
      <c r="B3" s="162"/>
      <c r="C3" s="162"/>
      <c r="D3" s="162"/>
      <c r="E3" s="162"/>
      <c r="F3" s="162"/>
      <c r="H3" s="178"/>
    </row>
    <row r="4" spans="1:6" ht="12.75">
      <c r="A4" s="232" t="s">
        <v>60</v>
      </c>
      <c r="B4" s="233">
        <v>35</v>
      </c>
      <c r="C4" s="233">
        <v>30</v>
      </c>
      <c r="D4" s="233">
        <v>0</v>
      </c>
      <c r="E4" s="233">
        <v>80</v>
      </c>
      <c r="F4" s="233">
        <v>0.99</v>
      </c>
    </row>
    <row r="5" spans="1:6" ht="12.75">
      <c r="A5" s="232" t="s">
        <v>61</v>
      </c>
      <c r="B5" s="233">
        <v>50</v>
      </c>
      <c r="C5" s="233">
        <v>40</v>
      </c>
      <c r="D5" s="233">
        <v>0</v>
      </c>
      <c r="E5" s="233">
        <v>150</v>
      </c>
      <c r="F5" s="233">
        <v>0.95</v>
      </c>
    </row>
    <row r="6" spans="1:6" ht="12.75">
      <c r="A6" s="163" t="s">
        <v>178</v>
      </c>
      <c r="B6" s="164">
        <v>70</v>
      </c>
      <c r="C6" s="164">
        <v>60</v>
      </c>
      <c r="D6" s="164">
        <v>0.2</v>
      </c>
      <c r="E6" s="164">
        <v>100</v>
      </c>
      <c r="F6" s="164">
        <v>0.95</v>
      </c>
    </row>
    <row r="7" spans="1:6" ht="12.75">
      <c r="A7" s="232" t="s">
        <v>179</v>
      </c>
      <c r="B7" s="233">
        <v>35</v>
      </c>
      <c r="C7" s="233">
        <v>25</v>
      </c>
      <c r="D7" s="233">
        <f>4*'Predesign sheet'!E6/'Predesign sheet'!I73</f>
        <v>0.8104279755269707</v>
      </c>
      <c r="E7" s="233">
        <v>34</v>
      </c>
      <c r="F7" s="233">
        <v>0.95</v>
      </c>
    </row>
    <row r="8" spans="1:6" ht="12.75">
      <c r="A8" s="232" t="s">
        <v>180</v>
      </c>
      <c r="B8" s="233">
        <v>50</v>
      </c>
      <c r="C8" s="233">
        <v>40</v>
      </c>
      <c r="D8" s="233">
        <v>0</v>
      </c>
      <c r="E8" s="233">
        <v>130</v>
      </c>
      <c r="F8" s="233">
        <v>0.95</v>
      </c>
    </row>
    <row r="9" spans="1:6" ht="12.75">
      <c r="A9" s="163" t="s">
        <v>181</v>
      </c>
      <c r="B9" s="164">
        <v>28</v>
      </c>
      <c r="C9" s="164">
        <v>22</v>
      </c>
      <c r="D9" s="164">
        <v>0.2</v>
      </c>
      <c r="E9" s="164">
        <v>100</v>
      </c>
      <c r="F9" s="164">
        <v>0.99</v>
      </c>
    </row>
    <row r="10" spans="1:6" ht="12.75">
      <c r="A10" s="163" t="s">
        <v>182</v>
      </c>
      <c r="B10" s="164"/>
      <c r="C10" s="164"/>
      <c r="D10" s="164"/>
      <c r="E10" s="164"/>
      <c r="F10" s="164"/>
    </row>
    <row r="11" spans="1:6" ht="12.75">
      <c r="A11" s="165" t="s">
        <v>194</v>
      </c>
      <c r="B11" s="165">
        <v>90</v>
      </c>
      <c r="C11" s="165">
        <v>70</v>
      </c>
      <c r="D11" s="165">
        <v>0</v>
      </c>
      <c r="E11" s="165">
        <v>1000</v>
      </c>
      <c r="F11" s="165">
        <v>0.95</v>
      </c>
    </row>
    <row r="12" spans="1:6" ht="12.75">
      <c r="A12" s="165" t="s">
        <v>195</v>
      </c>
      <c r="B12" s="165">
        <v>70</v>
      </c>
      <c r="C12" s="165">
        <v>55</v>
      </c>
      <c r="D12" s="165">
        <v>0</v>
      </c>
      <c r="E12" s="165">
        <v>1000</v>
      </c>
      <c r="F12" s="165">
        <v>0.95</v>
      </c>
    </row>
    <row r="13" spans="1:6" ht="12.75">
      <c r="A13" s="165" t="s">
        <v>196</v>
      </c>
      <c r="B13" s="165">
        <v>55</v>
      </c>
      <c r="C13" s="165">
        <v>45</v>
      </c>
      <c r="D13" s="165">
        <v>0</v>
      </c>
      <c r="E13" s="165">
        <v>1000</v>
      </c>
      <c r="F13" s="165">
        <v>0.95</v>
      </c>
    </row>
    <row r="14" spans="1:6" ht="12.75">
      <c r="A14" s="165" t="s">
        <v>197</v>
      </c>
      <c r="B14" s="165">
        <v>35</v>
      </c>
      <c r="C14" s="165">
        <v>28</v>
      </c>
      <c r="D14" s="165">
        <v>0</v>
      </c>
      <c r="E14" s="165">
        <v>1000</v>
      </c>
      <c r="F14" s="165">
        <v>0.95</v>
      </c>
    </row>
    <row r="15" spans="1:6" ht="12.75">
      <c r="A15" s="165" t="s">
        <v>183</v>
      </c>
      <c r="B15" s="165">
        <v>35</v>
      </c>
      <c r="C15" s="165">
        <v>28</v>
      </c>
      <c r="D15" s="165">
        <v>0</v>
      </c>
      <c r="E15" s="165">
        <v>1000</v>
      </c>
      <c r="F15" s="165">
        <v>0.95</v>
      </c>
    </row>
    <row r="16" spans="1:6" ht="12.75">
      <c r="A16" s="165" t="s">
        <v>61</v>
      </c>
      <c r="B16" s="269">
        <v>28</v>
      </c>
      <c r="C16" s="269">
        <v>22</v>
      </c>
      <c r="D16" s="269">
        <v>0.2</v>
      </c>
      <c r="E16" s="269">
        <v>100</v>
      </c>
      <c r="F16" s="269">
        <v>0.99</v>
      </c>
    </row>
    <row r="17" spans="1:7" ht="12.75">
      <c r="A17" s="165" t="s">
        <v>184</v>
      </c>
      <c r="B17" s="165">
        <v>90</v>
      </c>
      <c r="C17" s="165">
        <v>70</v>
      </c>
      <c r="D17" s="165">
        <v>0</v>
      </c>
      <c r="E17" s="165">
        <v>1000</v>
      </c>
      <c r="F17" s="165">
        <v>0.95</v>
      </c>
      <c r="G17" t="s">
        <v>383</v>
      </c>
    </row>
    <row r="18" spans="1:6" ht="12.75">
      <c r="A18" s="165" t="s">
        <v>185</v>
      </c>
      <c r="B18" s="165">
        <v>28</v>
      </c>
      <c r="C18" s="165">
        <v>22</v>
      </c>
      <c r="D18" s="165">
        <v>2</v>
      </c>
      <c r="E18" s="165">
        <v>40</v>
      </c>
      <c r="F18" s="165">
        <v>0.99</v>
      </c>
    </row>
    <row r="19" spans="1:6" ht="12.75">
      <c r="A19" s="165" t="s">
        <v>186</v>
      </c>
      <c r="B19" s="165"/>
      <c r="C19" s="165"/>
      <c r="D19" s="165"/>
      <c r="E19" s="165">
        <v>1000</v>
      </c>
      <c r="F19" s="165">
        <v>0.95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I7"/>
  <sheetViews>
    <sheetView workbookViewId="0" topLeftCell="B1">
      <selection activeCell="A7" sqref="A7"/>
    </sheetView>
  </sheetViews>
  <sheetFormatPr defaultColWidth="11.421875" defaultRowHeight="12.75"/>
  <cols>
    <col min="1" max="1" width="25.421875" style="0" customWidth="1"/>
    <col min="2" max="2" width="18.28125" style="0" customWidth="1"/>
    <col min="3" max="3" width="17.421875" style="0" customWidth="1"/>
    <col min="4" max="4" width="11.8515625" style="0" customWidth="1"/>
    <col min="5" max="5" width="14.7109375" style="0" customWidth="1"/>
    <col min="6" max="6" width="20.140625" style="0" customWidth="1"/>
    <col min="7" max="7" width="20.28125" style="0" customWidth="1"/>
    <col min="8" max="8" width="9.7109375" style="0" customWidth="1"/>
  </cols>
  <sheetData>
    <row r="1" spans="1:9" ht="12.75">
      <c r="A1" s="167" t="s">
        <v>154</v>
      </c>
      <c r="B1" s="160" t="s">
        <v>412</v>
      </c>
      <c r="C1" s="160" t="s">
        <v>173</v>
      </c>
      <c r="D1" s="160" t="s">
        <v>413</v>
      </c>
      <c r="E1" s="160" t="s">
        <v>415</v>
      </c>
      <c r="F1" s="160" t="s">
        <v>156</v>
      </c>
      <c r="G1" s="160" t="s">
        <v>157</v>
      </c>
      <c r="H1" s="270"/>
      <c r="I1" s="170" t="s">
        <v>189</v>
      </c>
    </row>
    <row r="2" spans="1:9" ht="12.75">
      <c r="A2" s="168"/>
      <c r="B2" s="162" t="s">
        <v>161</v>
      </c>
      <c r="C2" s="162" t="s">
        <v>161</v>
      </c>
      <c r="D2" s="162" t="s">
        <v>414</v>
      </c>
      <c r="E2" s="162" t="s">
        <v>159</v>
      </c>
      <c r="F2" s="162" t="s">
        <v>160</v>
      </c>
      <c r="G2" s="162" t="s">
        <v>160</v>
      </c>
      <c r="H2" s="271"/>
      <c r="I2" s="171">
        <v>2</v>
      </c>
    </row>
    <row r="3" spans="1:7" ht="12.75">
      <c r="A3" s="207"/>
      <c r="B3" s="207"/>
      <c r="C3" s="207"/>
      <c r="D3" s="207"/>
      <c r="E3" s="207"/>
      <c r="F3" s="207"/>
      <c r="G3" s="207"/>
    </row>
    <row r="4" spans="1:7" ht="12.75">
      <c r="A4" s="207" t="s">
        <v>411</v>
      </c>
      <c r="B4" s="207"/>
      <c r="C4" s="207"/>
      <c r="D4" s="207"/>
      <c r="E4" s="207"/>
      <c r="F4" s="207"/>
      <c r="G4" s="207"/>
    </row>
    <row r="5" spans="1:7" ht="12.75">
      <c r="A5" s="207" t="s">
        <v>433</v>
      </c>
      <c r="B5" s="207">
        <v>6</v>
      </c>
      <c r="C5" s="207">
        <v>55</v>
      </c>
      <c r="D5" s="207">
        <v>3</v>
      </c>
      <c r="E5" s="207">
        <v>0.99</v>
      </c>
      <c r="F5" s="207">
        <v>3</v>
      </c>
      <c r="G5" s="207">
        <v>1</v>
      </c>
    </row>
    <row r="6" spans="1:7" ht="12.75">
      <c r="A6" s="207" t="s">
        <v>416</v>
      </c>
      <c r="B6" s="207">
        <v>6</v>
      </c>
      <c r="C6" s="207">
        <v>55</v>
      </c>
      <c r="D6" s="207">
        <v>45</v>
      </c>
      <c r="E6" s="207">
        <v>0.99</v>
      </c>
      <c r="F6" s="207">
        <v>3</v>
      </c>
      <c r="G6" s="207">
        <v>1</v>
      </c>
    </row>
    <row r="7" spans="1:7" ht="12.75">
      <c r="A7" s="207" t="s">
        <v>420</v>
      </c>
      <c r="B7" s="207">
        <v>6</v>
      </c>
      <c r="C7" s="207">
        <v>55</v>
      </c>
      <c r="D7" s="207">
        <v>45</v>
      </c>
      <c r="E7" s="290">
        <f>INDEX('Values Generation-Conversion'!B3:B17,'Values Generation-Conversion'!I2)-0.05</f>
        <v>0.84</v>
      </c>
      <c r="F7" s="290">
        <f>INDEX('Values Generation-Conversion'!C3:C17,'Values Generation-Conversion'!I2)</f>
        <v>2</v>
      </c>
      <c r="G7" s="290">
        <f>INDEX('Values Generation-Conversion'!D3:D17,'Values Generation-Conversion'!I2)</f>
        <v>0.21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GhK Bauphysik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 Schmidt</dc:creator>
  <cp:keywords/>
  <dc:description/>
  <cp:lastModifiedBy>schmidt</cp:lastModifiedBy>
  <cp:lastPrinted>2003-09-12T10:39:23Z</cp:lastPrinted>
  <dcterms:created xsi:type="dcterms:W3CDTF">2001-10-26T10:25:10Z</dcterms:created>
  <dcterms:modified xsi:type="dcterms:W3CDTF">2006-01-31T08:02:16Z</dcterms:modified>
  <cp:category/>
  <cp:version/>
  <cp:contentType/>
  <cp:contentStatus/>
</cp:coreProperties>
</file>